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/>
  <mc:AlternateContent xmlns:mc="http://schemas.openxmlformats.org/markup-compatibility/2006">
    <mc:Choice Requires="x15">
      <x15ac:absPath xmlns:x15ac="http://schemas.microsoft.com/office/spreadsheetml/2010/11/ac" url="C:\Users\Vivek Awasthi\Desktop\"/>
    </mc:Choice>
  </mc:AlternateContent>
  <xr:revisionPtr revIDLastSave="0" documentId="13_ncr:1_{C5066537-5442-4FF2-9034-E55CED969C43}" xr6:coauthVersionLast="47" xr6:coauthVersionMax="47" xr10:uidLastSave="{00000000-0000-0000-0000-000000000000}"/>
  <bookViews>
    <workbookView xWindow="-110" yWindow="-110" windowWidth="38620" windowHeight="21820" tabRatio="849" activeTab="1" xr2:uid="{7B44C550-8562-4525-8E50-A33B250CDB46}"/>
  </bookViews>
  <sheets>
    <sheet name="Salary" sheetId="16" r:id="rId1"/>
    <sheet name="Capital Gain" sheetId="4" r:id="rId2"/>
    <sheet name="E TRADE" sheetId="11" r:id="rId3"/>
    <sheet name="Other Source" sheetId="7" r:id="rId4"/>
    <sheet name="FSI" sheetId="14" r:id="rId5"/>
    <sheet name="FA" sheetId="15" r:id="rId6"/>
  </sheets>
  <calcPr calcId="191029"/>
  <pivotCaches>
    <pivotCache cacheId="2" r:id="rId7"/>
    <pivotCache cacheId="3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4" l="1"/>
  <c r="E5" i="14"/>
  <c r="E3" i="14"/>
  <c r="B10" i="14"/>
  <c r="C5" i="16"/>
  <c r="B10" i="15"/>
  <c r="B9" i="15"/>
  <c r="C3" i="14"/>
  <c r="B6" i="16"/>
  <c r="B3" i="16"/>
  <c r="D4" i="4"/>
  <c r="D7" i="4" s="1"/>
  <c r="D13" i="4"/>
  <c r="D16" i="4" s="1"/>
  <c r="J3" i="4"/>
  <c r="J6" i="4"/>
  <c r="K32" i="11"/>
  <c r="I32" i="11"/>
  <c r="F32" i="11"/>
  <c r="L5" i="11"/>
  <c r="L6" i="11"/>
  <c r="L7" i="11"/>
  <c r="L8" i="11"/>
  <c r="L9" i="11"/>
  <c r="L10" i="11"/>
  <c r="L11" i="11"/>
  <c r="L12" i="11"/>
  <c r="L13" i="11"/>
  <c r="L14" i="11"/>
  <c r="L15" i="11"/>
  <c r="L16" i="11"/>
  <c r="L17" i="11"/>
  <c r="L18" i="11"/>
  <c r="L19" i="11"/>
  <c r="L20" i="11"/>
  <c r="L21" i="11"/>
  <c r="L22" i="11"/>
  <c r="L23" i="11"/>
  <c r="L24" i="11"/>
  <c r="L25" i="11"/>
  <c r="L26" i="11"/>
  <c r="L27" i="11"/>
  <c r="L28" i="11"/>
  <c r="L29" i="11"/>
  <c r="L30" i="11"/>
  <c r="L31" i="11"/>
  <c r="L4" i="11"/>
  <c r="J5" i="11"/>
  <c r="J6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4" i="11"/>
  <c r="M5" i="11"/>
  <c r="N5" i="11" s="1"/>
  <c r="M6" i="11"/>
  <c r="N6" i="11" s="1"/>
  <c r="M7" i="11"/>
  <c r="N7" i="11" s="1"/>
  <c r="M8" i="11"/>
  <c r="N8" i="11" s="1"/>
  <c r="M9" i="11"/>
  <c r="N9" i="11" s="1"/>
  <c r="M10" i="11"/>
  <c r="N10" i="11" s="1"/>
  <c r="M11" i="11"/>
  <c r="N11" i="11" s="1"/>
  <c r="M12" i="11"/>
  <c r="N12" i="11" s="1"/>
  <c r="M13" i="11"/>
  <c r="N13" i="11" s="1"/>
  <c r="M14" i="11"/>
  <c r="N14" i="11" s="1"/>
  <c r="M15" i="11"/>
  <c r="N15" i="11" s="1"/>
  <c r="M16" i="11"/>
  <c r="N16" i="11" s="1"/>
  <c r="M17" i="11"/>
  <c r="N17" i="11" s="1"/>
  <c r="M18" i="11"/>
  <c r="N18" i="11" s="1"/>
  <c r="M19" i="11"/>
  <c r="N19" i="11" s="1"/>
  <c r="M20" i="11"/>
  <c r="N20" i="11" s="1"/>
  <c r="M21" i="11"/>
  <c r="N21" i="11" s="1"/>
  <c r="M22" i="11"/>
  <c r="N22" i="11" s="1"/>
  <c r="M23" i="11"/>
  <c r="N23" i="11" s="1"/>
  <c r="M24" i="11"/>
  <c r="N24" i="11" s="1"/>
  <c r="M25" i="11"/>
  <c r="N25" i="11" s="1"/>
  <c r="M26" i="11"/>
  <c r="N26" i="11" s="1"/>
  <c r="M27" i="11"/>
  <c r="N27" i="11" s="1"/>
  <c r="M28" i="11"/>
  <c r="N28" i="11" s="1"/>
  <c r="M29" i="11"/>
  <c r="N29" i="11" s="1"/>
  <c r="M30" i="11"/>
  <c r="N30" i="11" s="1"/>
  <c r="M31" i="11"/>
  <c r="N31" i="11" s="1"/>
  <c r="M4" i="11"/>
  <c r="N4" i="11" s="1"/>
  <c r="H4" i="4"/>
  <c r="H7" i="4" s="1"/>
  <c r="B7" i="7"/>
  <c r="I2" i="4"/>
  <c r="H14" i="4"/>
  <c r="H11" i="4"/>
  <c r="I5" i="4"/>
  <c r="B8" i="16" l="1"/>
  <c r="B15" i="16" s="1"/>
  <c r="J5" i="4"/>
  <c r="J2" i="4"/>
  <c r="J32" i="11"/>
  <c r="M32" i="11"/>
  <c r="H13" i="4"/>
  <c r="H16" i="4" s="1"/>
  <c r="I4" i="4"/>
  <c r="I7" i="4" s="1"/>
  <c r="C5" i="14" s="1"/>
  <c r="L32" i="11"/>
  <c r="N32" i="11"/>
  <c r="C4" i="14" l="1"/>
  <c r="J4" i="4"/>
  <c r="J7" i="4" s="1"/>
  <c r="E6" i="14" l="1"/>
  <c r="C6" i="14"/>
</calcChain>
</file>

<file path=xl/sharedStrings.xml><?xml version="1.0" encoding="utf-8"?>
<sst xmlns="http://schemas.openxmlformats.org/spreadsheetml/2006/main" count="294" uniqueCount="130">
  <si>
    <t>Interest on Saving Account</t>
  </si>
  <si>
    <t>Interest on FD</t>
  </si>
  <si>
    <t>Interest on income tax refund</t>
  </si>
  <si>
    <t>Other income</t>
  </si>
  <si>
    <t>Income from other source</t>
  </si>
  <si>
    <t>Total</t>
  </si>
  <si>
    <t>Address</t>
  </si>
  <si>
    <t>Gross Consideration</t>
  </si>
  <si>
    <t>Expense related to transfer (other than STT)</t>
  </si>
  <si>
    <t>Net Consideration</t>
  </si>
  <si>
    <t>Less - Cost of acquisition</t>
  </si>
  <si>
    <t>Less- Cost of improvement</t>
  </si>
  <si>
    <t>Short Term Capital Gain</t>
  </si>
  <si>
    <t>Less- Cost of improvement without indexation</t>
  </si>
  <si>
    <t>Long Term Capital Gain</t>
  </si>
  <si>
    <t>Less - Cost of acquisition without indexation</t>
  </si>
  <si>
    <t>Dividend</t>
  </si>
  <si>
    <t xml:space="preserve">Income from Capital Gains STCG us 111A </t>
  </si>
  <si>
    <t xml:space="preserve">Long Term Capital Gain us 112A </t>
  </si>
  <si>
    <t>Income from Capital Gains STCG - others</t>
  </si>
  <si>
    <t>Long Term Capital Gain - others</t>
  </si>
  <si>
    <t>Capital Gain</t>
  </si>
  <si>
    <t>Sale Date</t>
  </si>
  <si>
    <t>ESPP</t>
  </si>
  <si>
    <t>as per AIS</t>
  </si>
  <si>
    <t>06/15/2025</t>
  </si>
  <si>
    <t>09/20/2023</t>
  </si>
  <si>
    <t>06/20/2025</t>
  </si>
  <si>
    <t>09/20/2025</t>
  </si>
  <si>
    <t>12/20/2023</t>
  </si>
  <si>
    <t>03/20/2024</t>
  </si>
  <si>
    <t>06/20/2024</t>
  </si>
  <si>
    <t>09/20/2024</t>
  </si>
  <si>
    <t>12/20/2024</t>
  </si>
  <si>
    <t>12/15/2025</t>
  </si>
  <si>
    <t>12/20/2025</t>
  </si>
  <si>
    <t>Sale proceed</t>
  </si>
  <si>
    <t>USD</t>
  </si>
  <si>
    <t>INR</t>
  </si>
  <si>
    <t>Cost</t>
  </si>
  <si>
    <t>Plan</t>
  </si>
  <si>
    <t>RS</t>
  </si>
  <si>
    <t>Short</t>
  </si>
  <si>
    <t>Long</t>
  </si>
  <si>
    <t>Capital Gain INR</t>
  </si>
  <si>
    <t>Conv Rate (1)</t>
  </si>
  <si>
    <t>Coversion date</t>
  </si>
  <si>
    <t>Acquired date</t>
  </si>
  <si>
    <t>06/18/2025</t>
  </si>
  <si>
    <t>10/06/2025</t>
  </si>
  <si>
    <t>11/06/2025</t>
  </si>
  <si>
    <t>12/19/2025</t>
  </si>
  <si>
    <t>12/22/2025</t>
  </si>
  <si>
    <t>Period of holding</t>
  </si>
  <si>
    <t>less than 24 months</t>
  </si>
  <si>
    <t>Nature (2)</t>
  </si>
  <si>
    <t>Note 2 - US stock are consider as unlisted share as they are not listed in Indian stock exhange. Hence POH shall be more than 24 months for long term</t>
  </si>
  <si>
    <t>more than 24 months</t>
  </si>
  <si>
    <t>03/20/2026</t>
  </si>
  <si>
    <t>03/23/2026</t>
  </si>
  <si>
    <t>03/20/2025</t>
  </si>
  <si>
    <t>Adjusted Cost</t>
  </si>
  <si>
    <t>(blank)</t>
  </si>
  <si>
    <t>Grand Total</t>
  </si>
  <si>
    <t>Row Labels</t>
  </si>
  <si>
    <t>Sale</t>
  </si>
  <si>
    <t>Remark</t>
  </si>
  <si>
    <t>Head</t>
  </si>
  <si>
    <t>Salary</t>
  </si>
  <si>
    <t>Amount</t>
  </si>
  <si>
    <t>Tax paid ouside india</t>
  </si>
  <si>
    <t>Nature</t>
  </si>
  <si>
    <t>Tax Paid in India</t>
  </si>
  <si>
    <t>Long Term US Stock</t>
  </si>
  <si>
    <t>Short Term US Stock</t>
  </si>
  <si>
    <t>W-8BEN filed no tax in US</t>
  </si>
  <si>
    <t>FSI during 2025-26</t>
  </si>
  <si>
    <t>Country</t>
  </si>
  <si>
    <t>Name</t>
  </si>
  <si>
    <t>ZIP</t>
  </si>
  <si>
    <t>Publicly Listed Company in USA</t>
  </si>
  <si>
    <t>Nature of Entity</t>
  </si>
  <si>
    <t>Date of acquiring interest</t>
  </si>
  <si>
    <t>Peak Value of investment</t>
  </si>
  <si>
    <t>Closing balance</t>
  </si>
  <si>
    <t xml:space="preserve">Intial investment </t>
  </si>
  <si>
    <t>Sale Proceed</t>
  </si>
  <si>
    <t>Note 1 - Coversion rate as per SBI TT Buy rate of last day of preceeding month of transfer</t>
  </si>
  <si>
    <t>As per guideline on reporting schedule FA conversion rate shall be taken on relevant date</t>
  </si>
  <si>
    <t>E TRADE WORKING FOR FY 2025-26 (AY 2026-27)</t>
  </si>
  <si>
    <t>Cap Gain</t>
  </si>
  <si>
    <t>Zerodha</t>
  </si>
  <si>
    <t>Gold ETF</t>
  </si>
  <si>
    <t>RSU-US</t>
  </si>
  <si>
    <t>Income under the head salaries (as per Form 16)</t>
  </si>
  <si>
    <t>Basic Salary</t>
  </si>
  <si>
    <t>Salary as per sec 17(1)</t>
  </si>
  <si>
    <t>ESPP Perquisite</t>
  </si>
  <si>
    <t>RSU Perquisite</t>
  </si>
  <si>
    <t>Salary as per sec 17(2)</t>
  </si>
  <si>
    <t>Profits in lieu of salary under section 17(3)</t>
  </si>
  <si>
    <t xml:space="preserve">Total salary income </t>
  </si>
  <si>
    <t>Less: Allowances exempt u/s 10(for Service Period)</t>
  </si>
  <si>
    <t>(I) H.R.A. exemption</t>
  </si>
  <si>
    <t>(I) Other exemption</t>
  </si>
  <si>
    <t xml:space="preserve">(II) Standard Deduction for Salaried &amp; Pensioner (Rs 75,000) </t>
  </si>
  <si>
    <t>(iii) Any Other Exempted Receipts/ allowances</t>
  </si>
  <si>
    <t>(iv) Professional Tax</t>
  </si>
  <si>
    <t>Income under the head salaries</t>
  </si>
  <si>
    <t>No. of share</t>
  </si>
  <si>
    <t>RSU-US Stock</t>
  </si>
  <si>
    <t>12.Jan.2025</t>
  </si>
  <si>
    <t>A3. Equity interest outside India</t>
  </si>
  <si>
    <t>A2. Broker Account outside India</t>
  </si>
  <si>
    <t>2-USA</t>
  </si>
  <si>
    <t>E Trade from Morgan Stanley</t>
  </si>
  <si>
    <t>Zip</t>
  </si>
  <si>
    <t>1585 Broadway, New York, NY, USA</t>
  </si>
  <si>
    <t>Acount Number</t>
  </si>
  <si>
    <t>Status</t>
  </si>
  <si>
    <t>Benificial Owner</t>
  </si>
  <si>
    <t>Account Opening date</t>
  </si>
  <si>
    <t>2.6.2023</t>
  </si>
  <si>
    <t>Peal Value</t>
  </si>
  <si>
    <t>Closing Balance</t>
  </si>
  <si>
    <t>Normal Income</t>
  </si>
  <si>
    <t>Normal Tax</t>
  </si>
  <si>
    <t>Average Rate</t>
  </si>
  <si>
    <t>Lilly Corporate Center, 893 S Delaware St, Indianapolis, IN 46285, United States</t>
  </si>
  <si>
    <t>Eli Lilly and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</si>
</sst>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₹&quot;\ * #,##0.00_ ;_ &quot;₹&quot;\ * \-#,##0.00_ ;_ &quot;₹&quot;\ * &quot;-&quot;??_ ;_ @_ "/>
    <numFmt numFmtId="164" formatCode="_ [$₹-4009]\ * #,##0.00_ ;_ [$₹-4009]\ * \-#,##0.00_ ;_ [$₹-4009]\ * &quot;-&quot;??_ ;_ @_ "/>
    <numFmt numFmtId="165" formatCode="_(* #,##0.00_);_(* \(#,##0.00\);_(* &quot;-&quot;??_);_(@_)"/>
    <numFmt numFmtId="166" formatCode="_ &quot;₹&quot;\ * #,##0_ ;_ &quot;₹&quot;\ * \-#,##0_ ;_ &quot;₹&quot;\ * &quot;-&quot;??_ ;_ @_ "/>
    <numFmt numFmtId="167" formatCode="_-[$$-409]* #,##0.00_ ;_-[$$-409]* \-#,##0.00\ ;_-[$$-409]* &quot;-&quot;??_ ;_-@_ "/>
    <numFmt numFmtId="168" formatCode="[$-14009]dd/mm/yyyy;@"/>
  </numFmts>
  <fonts count="16" x14ac:knownFonts="1">
    <font>
      <sz val="11"/>
      <color theme="1"/>
      <name val="Garamond"/>
      <family val="2"/>
      <scheme val="minor"/>
    </font>
    <font>
      <sz val="11"/>
      <color theme="1"/>
      <name val="Garamond"/>
      <family val="2"/>
      <scheme val="minor"/>
    </font>
    <font>
      <sz val="10"/>
      <name val="Arial"/>
      <family val="2"/>
    </font>
    <font>
      <b/>
      <sz val="11"/>
      <color theme="1"/>
      <name val="Garamond"/>
      <family val="2"/>
      <charset val="204"/>
      <scheme val="minor"/>
    </font>
    <font>
      <b/>
      <sz val="11"/>
      <color theme="1"/>
      <name val="Garamond"/>
      <family val="1"/>
      <scheme val="minor"/>
    </font>
    <font>
      <b/>
      <sz val="11"/>
      <color theme="0"/>
      <name val="Garamond"/>
      <family val="1"/>
      <scheme val="minor"/>
    </font>
    <font>
      <sz val="11"/>
      <color theme="0"/>
      <name val="Garamond"/>
      <family val="2"/>
      <scheme val="minor"/>
    </font>
    <font>
      <sz val="11"/>
      <color rgb="FF9C5700"/>
      <name val="Garamond"/>
      <family val="2"/>
      <scheme val="minor"/>
    </font>
    <font>
      <sz val="11"/>
      <color rgb="FF3F3F76"/>
      <name val="Garamond"/>
      <family val="2"/>
      <scheme val="minor"/>
    </font>
    <font>
      <b/>
      <sz val="11"/>
      <color theme="0"/>
      <name val="Garamond"/>
      <family val="2"/>
      <charset val="204"/>
      <scheme val="minor"/>
    </font>
    <font>
      <sz val="11"/>
      <name val="Garamond"/>
      <family val="2"/>
      <charset val="204"/>
      <scheme val="minor"/>
    </font>
    <font>
      <sz val="11"/>
      <color theme="1"/>
      <name val="Garamond"/>
      <family val="2"/>
      <charset val="204"/>
      <scheme val="minor"/>
    </font>
    <font>
      <b/>
      <sz val="11"/>
      <name val="Garamond"/>
      <family val="1"/>
      <scheme val="minor"/>
    </font>
    <font>
      <b/>
      <sz val="11"/>
      <name val="Garamond"/>
      <family val="2"/>
      <scheme val="minor"/>
    </font>
    <font>
      <sz val="9"/>
      <color theme="1"/>
      <name val="Garamond"/>
      <family val="2"/>
      <scheme val="minor"/>
    </font>
    <font>
      <b/>
      <sz val="9"/>
      <color theme="1"/>
      <name val="Garamond"/>
      <family val="1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7" fillId="5" borderId="0" applyNumberFormat="0" applyBorder="0" applyAlignment="0" applyProtection="0"/>
    <xf numFmtId="0" fontId="8" fillId="6" borderId="8" applyNumberFormat="0" applyAlignment="0" applyProtection="0"/>
  </cellStyleXfs>
  <cellXfs count="73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6" xfId="0" applyBorder="1"/>
    <xf numFmtId="166" fontId="0" fillId="0" borderId="5" xfId="1" applyNumberFormat="1" applyFont="1" applyBorder="1"/>
    <xf numFmtId="166" fontId="0" fillId="0" borderId="7" xfId="1" applyNumberFormat="1" applyFont="1" applyBorder="1"/>
    <xf numFmtId="166" fontId="0" fillId="0" borderId="0" xfId="0" applyNumberFormat="1"/>
    <xf numFmtId="44" fontId="0" fillId="0" borderId="0" xfId="1" applyFont="1"/>
    <xf numFmtId="44" fontId="0" fillId="0" borderId="0" xfId="0" applyNumberFormat="1"/>
    <xf numFmtId="1" fontId="0" fillId="0" borderId="0" xfId="0" applyNumberFormat="1"/>
    <xf numFmtId="167" fontId="0" fillId="0" borderId="4" xfId="0" applyNumberFormat="1" applyBorder="1"/>
    <xf numFmtId="164" fontId="0" fillId="0" borderId="0" xfId="0" applyNumberFormat="1"/>
    <xf numFmtId="0" fontId="0" fillId="0" borderId="0" xfId="0" applyAlignment="1">
      <alignment horizontal="left"/>
    </xf>
    <xf numFmtId="14" fontId="0" fillId="0" borderId="4" xfId="0" applyNumberFormat="1" applyBorder="1"/>
    <xf numFmtId="168" fontId="0" fillId="0" borderId="4" xfId="0" applyNumberFormat="1" applyBorder="1"/>
    <xf numFmtId="167" fontId="0" fillId="0" borderId="0" xfId="0" applyNumberFormat="1"/>
    <xf numFmtId="164" fontId="0" fillId="0" borderId="4" xfId="0" applyNumberFormat="1" applyBorder="1"/>
    <xf numFmtId="0" fontId="0" fillId="2" borderId="4" xfId="0" applyFill="1" applyBorder="1"/>
    <xf numFmtId="14" fontId="0" fillId="2" borderId="4" xfId="0" applyNumberFormat="1" applyFill="1" applyBorder="1"/>
    <xf numFmtId="168" fontId="0" fillId="2" borderId="4" xfId="0" applyNumberFormat="1" applyFill="1" applyBorder="1"/>
    <xf numFmtId="167" fontId="0" fillId="2" borderId="4" xfId="0" applyNumberFormat="1" applyFill="1" applyBorder="1"/>
    <xf numFmtId="0" fontId="5" fillId="3" borderId="4" xfId="0" applyFont="1" applyFill="1" applyBorder="1"/>
    <xf numFmtId="164" fontId="0" fillId="2" borderId="4" xfId="0" applyNumberFormat="1" applyFill="1" applyBorder="1"/>
    <xf numFmtId="0" fontId="0" fillId="0" borderId="0" xfId="0" pivotButton="1"/>
    <xf numFmtId="0" fontId="4" fillId="0" borderId="0" xfId="0" applyFont="1"/>
    <xf numFmtId="15" fontId="0" fillId="0" borderId="0" xfId="0" applyNumberFormat="1"/>
    <xf numFmtId="0" fontId="0" fillId="4" borderId="4" xfId="0" applyFill="1" applyBorder="1"/>
    <xf numFmtId="14" fontId="0" fillId="4" borderId="4" xfId="0" applyNumberFormat="1" applyFill="1" applyBorder="1"/>
    <xf numFmtId="167" fontId="0" fillId="4" borderId="4" xfId="0" applyNumberFormat="1" applyFill="1" applyBorder="1"/>
    <xf numFmtId="164" fontId="0" fillId="4" borderId="4" xfId="0" applyNumberFormat="1" applyFill="1" applyBorder="1"/>
    <xf numFmtId="168" fontId="0" fillId="4" borderId="4" xfId="0" applyNumberFormat="1" applyFill="1" applyBorder="1"/>
    <xf numFmtId="0" fontId="4" fillId="0" borderId="4" xfId="0" applyFont="1" applyBorder="1"/>
    <xf numFmtId="167" fontId="4" fillId="0" borderId="4" xfId="0" applyNumberFormat="1" applyFont="1" applyBorder="1"/>
    <xf numFmtId="164" fontId="4" fillId="0" borderId="4" xfId="0" applyNumberFormat="1" applyFont="1" applyBorder="1"/>
    <xf numFmtId="0" fontId="6" fillId="3" borderId="4" xfId="0" applyFont="1" applyFill="1" applyBorder="1"/>
    <xf numFmtId="166" fontId="0" fillId="0" borderId="4" xfId="1" applyNumberFormat="1" applyFont="1" applyBorder="1"/>
    <xf numFmtId="166" fontId="4" fillId="0" borderId="0" xfId="0" applyNumberFormat="1" applyFont="1"/>
    <xf numFmtId="0" fontId="5" fillId="0" borderId="0" xfId="0" applyFont="1"/>
    <xf numFmtId="0" fontId="0" fillId="0" borderId="4" xfId="0" applyBorder="1" applyAlignment="1">
      <alignment wrapText="1"/>
    </xf>
    <xf numFmtId="166" fontId="0" fillId="0" borderId="4" xfId="1" applyNumberFormat="1" applyFont="1" applyBorder="1" applyAlignment="1">
      <alignment wrapText="1"/>
    </xf>
    <xf numFmtId="166" fontId="8" fillId="6" borderId="8" xfId="5" applyNumberFormat="1"/>
    <xf numFmtId="1" fontId="7" fillId="5" borderId="8" xfId="4" applyNumberFormat="1" applyBorder="1"/>
    <xf numFmtId="166" fontId="7" fillId="5" borderId="8" xfId="4" applyNumberFormat="1" applyBorder="1"/>
    <xf numFmtId="0" fontId="6" fillId="3" borderId="4" xfId="0" applyFont="1" applyFill="1" applyBorder="1" applyAlignment="1">
      <alignment horizontal="center"/>
    </xf>
    <xf numFmtId="0" fontId="8" fillId="6" borderId="8" xfId="5" applyAlignment="1">
      <alignment horizontal="left"/>
    </xf>
    <xf numFmtId="0" fontId="7" fillId="5" borderId="8" xfId="4" applyBorder="1" applyAlignment="1">
      <alignment horizontal="left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10" fillId="7" borderId="3" xfId="0" applyFont="1" applyFill="1" applyBorder="1" applyAlignment="1" applyProtection="1">
      <alignment vertical="center"/>
      <protection hidden="1"/>
    </xf>
    <xf numFmtId="0" fontId="11" fillId="4" borderId="5" xfId="0" applyFont="1" applyFill="1" applyBorder="1"/>
    <xf numFmtId="0" fontId="12" fillId="7" borderId="3" xfId="0" applyFont="1" applyFill="1" applyBorder="1" applyAlignment="1" applyProtection="1">
      <alignment vertical="center"/>
      <protection hidden="1"/>
    </xf>
    <xf numFmtId="0" fontId="4" fillId="0" borderId="5" xfId="0" applyFont="1" applyBorder="1"/>
    <xf numFmtId="0" fontId="11" fillId="0" borderId="5" xfId="0" applyFont="1" applyBorder="1"/>
    <xf numFmtId="0" fontId="10" fillId="2" borderId="3" xfId="0" applyFont="1" applyFill="1" applyBorder="1" applyAlignment="1" applyProtection="1">
      <alignment vertical="center"/>
      <protection hidden="1"/>
    </xf>
    <xf numFmtId="0" fontId="11" fillId="2" borderId="5" xfId="0" applyFont="1" applyFill="1" applyBorder="1"/>
    <xf numFmtId="0" fontId="13" fillId="7" borderId="6" xfId="0" applyFont="1" applyFill="1" applyBorder="1" applyAlignment="1" applyProtection="1">
      <alignment vertical="center"/>
      <protection hidden="1"/>
    </xf>
    <xf numFmtId="0" fontId="0" fillId="0" borderId="7" xfId="0" applyBorder="1"/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left" wrapText="1"/>
    </xf>
    <xf numFmtId="0" fontId="4" fillId="0" borderId="4" xfId="0" applyFont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166" fontId="0" fillId="0" borderId="4" xfId="0" applyNumberFormat="1" applyBorder="1" applyAlignment="1">
      <alignment horizontal="left"/>
    </xf>
    <xf numFmtId="0" fontId="14" fillId="0" borderId="4" xfId="0" applyFont="1" applyBorder="1"/>
    <xf numFmtId="166" fontId="14" fillId="0" borderId="4" xfId="0" applyNumberFormat="1" applyFont="1" applyBorder="1"/>
    <xf numFmtId="166" fontId="14" fillId="0" borderId="4" xfId="1" applyNumberFormat="1" applyFont="1" applyBorder="1"/>
    <xf numFmtId="0" fontId="15" fillId="0" borderId="4" xfId="0" applyFont="1" applyBorder="1"/>
    <xf numFmtId="44" fontId="15" fillId="0" borderId="4" xfId="0" applyNumberFormat="1" applyFont="1" applyBorder="1"/>
  </cellXfs>
  <cellStyles count="6">
    <cellStyle name="Comma 2" xfId="3" xr:uid="{CBFF23B5-AFF3-476A-A7DF-4169D9925143}"/>
    <cellStyle name="Currency" xfId="1" builtinId="4"/>
    <cellStyle name="Input" xfId="5" builtinId="20"/>
    <cellStyle name="Neutral" xfId="4" builtinId="28"/>
    <cellStyle name="Normal" xfId="0" builtinId="0"/>
    <cellStyle name="Normal 3" xfId="2" xr:uid="{DCA6039D-9D5A-4DA9-856F-E63B49126F26}"/>
  </cellStyles>
  <dxfs count="3">
    <dxf>
      <numFmt numFmtId="34" formatCode="_ &quot;₹&quot;\ * #,##0.00_ ;_ &quot;₹&quot;\ * \-#,##0.00_ ;_ &quot;₹&quot;\ * &quot;-&quot;??_ ;_ @_ "/>
    </dxf>
    <dxf>
      <numFmt numFmtId="34" formatCode="_ &quot;₹&quot;\ * #,##0.00_ ;_ &quot;₹&quot;\ * \-#,##0.00_ ;_ &quot;₹&quot;\ * &quot;-&quot;??_ ;_ @_ "/>
    </dxf>
    <dxf>
      <numFmt numFmtId="166" formatCode="_ &quot;₹&quot;\ * #,##0_ ;_ &quot;₹&quot;\ * \-#,##0_ ;_ &quot;₹&quot;\ * &quot;-&quot;??_ ;_ @_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Vivek Awasthi" refreshedDate="46196.547407523147" createdVersion="8" refreshedVersion="8" minRefreshableVersion="3" recordCount="29" xr:uid="{6524FB0A-D55B-4EAF-A111-D470F5ED24C8}">
  <cacheSource type="worksheet">
    <worksheetSource ref="A2:N31" sheet="E TRADE"/>
  </cacheSource>
  <cacheFields count="14">
    <cacheField name="Plan" numFmtId="0">
      <sharedItems containsBlank="1"/>
    </cacheField>
    <cacheField name="Acquired date" numFmtId="0">
      <sharedItems containsBlank="1"/>
    </cacheField>
    <cacheField name="Sale Date" numFmtId="0">
      <sharedItems containsBlank="1"/>
    </cacheField>
    <cacheField name="Period of holding" numFmtId="0">
      <sharedItems containsBlank="1"/>
    </cacheField>
    <cacheField name="Nature (2)" numFmtId="0">
      <sharedItems containsBlank="1" count="3">
        <m/>
        <s v="Short"/>
        <s v="Long"/>
      </sharedItems>
    </cacheField>
    <cacheField name="Number of share" numFmtId="0">
      <sharedItems containsString="0" containsBlank="1" containsNumber="1" containsInteger="1" minValue="4" maxValue="66"/>
    </cacheField>
    <cacheField name="Coversion date" numFmtId="0">
      <sharedItems containsNonDate="0" containsDate="1" containsString="0" containsBlank="1" minDate="2025-05-31T00:00:00" maxDate="2026-02-28T00:00:00"/>
    </cacheField>
    <cacheField name="Conv Rate (1)" numFmtId="0">
      <sharedItems containsString="0" containsBlank="1" containsNumber="1" minValue="85.1" maxValue="90.56"/>
    </cacheField>
    <cacheField name="Sale proceed" numFmtId="0">
      <sharedItems containsMixedTypes="1" containsNumber="1" minValue="664.46000100000003" maxValue="10437.030054000001"/>
    </cacheField>
    <cacheField name="Field10" caption="Field10" numFmtId="0">
      <sharedItems containsMixedTypes="1" containsNumber="1" minValue="56545.546085100003" maxValue="922111.60527089995"/>
    </cacheField>
    <cacheField name="Adjusted Cost" numFmtId="0">
      <sharedItems containsMixedTypes="1" containsNumber="1" minValue="481.5" maxValue="7350.1159879999996"/>
    </cacheField>
    <cacheField name="Field12" caption="Field12" numFmtId="0">
      <sharedItems containsMixedTypes="1" containsNumber="1" minValue="42540.524999999994" maxValue="653792.8171326"/>
    </cacheField>
    <cacheField name="Capital Gain INR" numFmtId="0">
      <sharedItems containsMixedTypes="1" containsNumber="1" minValue="53.294013999999606" maxValue="7589.1300540000011"/>
    </cacheField>
    <cacheField name="Field14" caption="Field14" numFmtId="0">
      <sharedItems containsMixedTypes="1" containsNumber="1" minValue="4535.3205913999664" maxValue="670499.6402709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Vivek Awasthi" refreshedDate="46200.518176157406" createdVersion="8" refreshedVersion="8" minRefreshableVersion="3" recordCount="29" xr:uid="{55D481AC-0D3D-42E0-B3C0-43D6B7574F87}">
  <cacheSource type="worksheet">
    <worksheetSource ref="C2:N31" sheet="E TRADE"/>
  </cacheSource>
  <cacheFields count="12">
    <cacheField name="Sale Date" numFmtId="0">
      <sharedItems containsBlank="1"/>
    </cacheField>
    <cacheField name="Period of holding" numFmtId="0">
      <sharedItems containsBlank="1"/>
    </cacheField>
    <cacheField name="Nature (2)" numFmtId="0">
      <sharedItems containsBlank="1" count="3">
        <m/>
        <s v="Short"/>
        <s v="Long"/>
      </sharedItems>
    </cacheField>
    <cacheField name="Number of share" numFmtId="0">
      <sharedItems containsString="0" containsBlank="1" containsNumber="1" containsInteger="1" minValue="4" maxValue="66"/>
    </cacheField>
    <cacheField name="Coversion date" numFmtId="0">
      <sharedItems containsNonDate="0" containsDate="1" containsString="0" containsBlank="1" minDate="2025-05-31T00:00:00" maxDate="2026-02-28T00:00:00"/>
    </cacheField>
    <cacheField name="Conv Rate (1)" numFmtId="0">
      <sharedItems containsString="0" containsBlank="1" containsNumber="1" minValue="85.1" maxValue="90.56"/>
    </cacheField>
    <cacheField name="Sale proceed" numFmtId="0">
      <sharedItems containsMixedTypes="1" containsNumber="1" minValue="664.46000100000003" maxValue="10437.030054000001"/>
    </cacheField>
    <cacheField name="Field8" caption="Field8" numFmtId="0">
      <sharedItems containsMixedTypes="1" containsNumber="1" minValue="56545.546085100003" maxValue="922111.60527089995"/>
    </cacheField>
    <cacheField name="Adjusted Cost" numFmtId="0">
      <sharedItems containsMixedTypes="1" containsNumber="1" minValue="481.5" maxValue="7350.1159879999996"/>
    </cacheField>
    <cacheField name="Field10" caption="Field10" numFmtId="0">
      <sharedItems containsMixedTypes="1" containsNumber="1" minValue="42540.524999999994" maxValue="653792.8171326"/>
    </cacheField>
    <cacheField name="Capital Gain INR" numFmtId="0">
      <sharedItems containsMixedTypes="1" containsNumber="1" minValue="53.294013999999606" maxValue="7589.1300540000011"/>
    </cacheField>
    <cacheField name="Field12" caption="Field12" numFmtId="0">
      <sharedItems containsMixedTypes="1" containsNumber="1" minValue="4535.3205913999664" maxValue="670499.6402709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">
  <r>
    <m/>
    <m/>
    <m/>
    <m/>
    <x v="0"/>
    <m/>
    <m/>
    <m/>
    <s v="USD"/>
    <s v="INR"/>
    <s v="USD"/>
    <s v="INR"/>
    <s v="USD"/>
    <s v="INR"/>
  </r>
  <r>
    <s v="RS"/>
    <s v="12/20/2024"/>
    <s v="06/18/2025"/>
    <s v="less than 24 months"/>
    <x v="1"/>
    <n v="21"/>
    <d v="2025-05-31T00:00:00"/>
    <n v="85.1"/>
    <n v="1550.4200040000001"/>
    <n v="131940.7423404"/>
    <n v="1290.45"/>
    <n v="109817.295"/>
    <n v="259.97000400000002"/>
    <n v="22123.447340399998"/>
  </r>
  <r>
    <s v="RS"/>
    <s v="03/20/2025"/>
    <s v="06/18/2025"/>
    <s v="less than 24 months"/>
    <x v="1"/>
    <n v="16"/>
    <d v="2025-05-31T00:00:00"/>
    <n v="85.1"/>
    <n v="1181.27"/>
    <n v="100526.07699999999"/>
    <n v="983.2"/>
    <n v="83670.319999999992"/>
    <n v="198.06999999999994"/>
    <n v="16855.756999999994"/>
  </r>
  <r>
    <s v="RS"/>
    <s v="03/20/2025"/>
    <s v="06/18/2025"/>
    <s v="less than 24 months"/>
    <x v="1"/>
    <n v="20"/>
    <d v="2025-05-31T00:00:00"/>
    <n v="85.1"/>
    <n v="1476.59"/>
    <n v="125657.80899999998"/>
    <n v="1229"/>
    <n v="104587.9"/>
    <n v="247.58999999999992"/>
    <n v="21069.908999999992"/>
  </r>
  <r>
    <s v="RS"/>
    <s v="03/20/2025"/>
    <s v="06/18/2025"/>
    <s v="less than 24 months"/>
    <x v="1"/>
    <n v="9"/>
    <d v="2025-05-31T00:00:00"/>
    <n v="85.1"/>
    <n v="664.46000100000003"/>
    <n v="56545.546085100003"/>
    <n v="553.04999999999995"/>
    <n v="47064.554999999993"/>
    <n v="111.41000100000008"/>
    <n v="9480.9910851000059"/>
  </r>
  <r>
    <s v="ESPP"/>
    <s v="06/15/2025"/>
    <s v="06/18/2025"/>
    <s v="less than 24 months"/>
    <x v="1"/>
    <n v="34"/>
    <d v="2025-05-31T00:00:00"/>
    <n v="85.1"/>
    <n v="2506.7300019999998"/>
    <n v="213322.72317019996"/>
    <n v="2453.4359880000002"/>
    <n v="208787.40257880001"/>
    <n v="53.294013999999606"/>
    <n v="4535.3205913999664"/>
  </r>
  <r>
    <s v="RS"/>
    <s v="09/20/2023"/>
    <s v="10/06/2025"/>
    <s v="more than 24 months"/>
    <x v="2"/>
    <n v="66"/>
    <d v="2025-09-30T00:00:00"/>
    <n v="88.35"/>
    <n v="10437.030054000001"/>
    <n v="922111.60527089995"/>
    <n v="2847.9"/>
    <n v="251611.965"/>
    <n v="7589.1300540000011"/>
    <n v="670499.6402709001"/>
  </r>
  <r>
    <s v="RS"/>
    <s v="06/20/2025"/>
    <s v="10/06/2025"/>
    <s v="less than 24 months"/>
    <x v="1"/>
    <n v="16"/>
    <d v="2025-09-30T00:00:00"/>
    <n v="88.35"/>
    <n v="2530.1799999999998"/>
    <n v="223541.40299999996"/>
    <n v="856"/>
    <n v="75627.599999999991"/>
    <n v="1674.1799999999998"/>
    <n v="147913.80299999999"/>
  </r>
  <r>
    <s v="RS"/>
    <s v="06/20/2025"/>
    <s v="10/06/2025"/>
    <s v="less than 24 months"/>
    <x v="1"/>
    <n v="20"/>
    <d v="2025-09-30T00:00:00"/>
    <n v="88.35"/>
    <n v="3162.74"/>
    <n v="279428.07899999997"/>
    <n v="1070"/>
    <n v="94534.5"/>
    <n v="2092.7399999999998"/>
    <n v="184893.57899999997"/>
  </r>
  <r>
    <s v="RS"/>
    <s v="06/20/2025"/>
    <s v="10/06/2025"/>
    <s v="less than 24 months"/>
    <x v="1"/>
    <n v="10"/>
    <d v="2025-09-30T00:00:00"/>
    <n v="88.35"/>
    <n v="1581.37"/>
    <n v="139714.03949999998"/>
    <n v="535"/>
    <n v="47267.25"/>
    <n v="1046.3699999999999"/>
    <n v="92446.789499999984"/>
  </r>
  <r>
    <s v="RS"/>
    <s v="09/20/2025"/>
    <s v="10/06/2025"/>
    <s v="less than 24 months"/>
    <x v="1"/>
    <n v="16"/>
    <d v="2025-09-30T00:00:00"/>
    <n v="88.35"/>
    <n v="2530.1799999999998"/>
    <n v="223541.40299999996"/>
    <n v="856"/>
    <n v="75627.599999999991"/>
    <n v="1674.1799999999998"/>
    <n v="147913.80299999999"/>
  </r>
  <r>
    <s v="RS"/>
    <s v="09/20/2025"/>
    <s v="10/06/2025"/>
    <s v="less than 24 months"/>
    <x v="1"/>
    <n v="20"/>
    <d v="2025-09-30T00:00:00"/>
    <n v="88.35"/>
    <n v="3162.74"/>
    <n v="279428.07899999997"/>
    <n v="1070"/>
    <n v="94534.5"/>
    <n v="2092.7399999999998"/>
    <n v="184893.57899999997"/>
  </r>
  <r>
    <s v="RS"/>
    <s v="09/20/2025"/>
    <s v="10/06/2025"/>
    <s v="less than 24 months"/>
    <x v="1"/>
    <n v="9"/>
    <d v="2025-09-30T00:00:00"/>
    <n v="88.35"/>
    <n v="1423.2300029999999"/>
    <n v="125742.37076504999"/>
    <n v="481.5"/>
    <n v="42540.524999999994"/>
    <n v="941.7300029999999"/>
    <n v="83201.845765049991"/>
  </r>
  <r>
    <s v="RS"/>
    <s v="12/20/2023"/>
    <s v="11/06/2025"/>
    <s v="less than 24 months"/>
    <x v="1"/>
    <n v="16"/>
    <d v="2025-10-31T00:00:00"/>
    <n v="88.2"/>
    <n v="3241.88"/>
    <n v="285933.81599999999"/>
    <n v="649.6"/>
    <n v="57294.720000000001"/>
    <n v="2592.2800000000002"/>
    <n v="228639.09600000002"/>
  </r>
  <r>
    <s v="RS"/>
    <s v="03/20/2024"/>
    <s v="11/06/2025"/>
    <s v="less than 24 months"/>
    <x v="1"/>
    <n v="20"/>
    <d v="2025-10-31T00:00:00"/>
    <n v="88.2"/>
    <n v="4052.35"/>
    <n v="357417.27"/>
    <n v="812"/>
    <n v="71618.400000000009"/>
    <n v="3240.35"/>
    <n v="285798.87"/>
  </r>
  <r>
    <s v="RS"/>
    <s v="03/20/2024"/>
    <s v="11/06/2025"/>
    <s v="less than 24 months"/>
    <x v="1"/>
    <n v="16"/>
    <d v="2025-10-31T00:00:00"/>
    <n v="88.2"/>
    <n v="3241.88"/>
    <n v="285933.81599999999"/>
    <n v="649.6"/>
    <n v="57294.720000000001"/>
    <n v="2592.2800000000002"/>
    <n v="228639.09600000002"/>
  </r>
  <r>
    <s v="RS"/>
    <s v="06/20/2024"/>
    <s v="11/06/2025"/>
    <s v="less than 24 months"/>
    <x v="1"/>
    <n v="16"/>
    <d v="2025-10-31T00:00:00"/>
    <n v="88.2"/>
    <n v="3241.88"/>
    <n v="285933.81599999999"/>
    <n v="696.96"/>
    <n v="61471.872000000003"/>
    <n v="2544.92"/>
    <n v="224461.94400000002"/>
  </r>
  <r>
    <s v="RS"/>
    <s v="06/20/2024"/>
    <s v="11/06/2025"/>
    <s v="less than 24 months"/>
    <x v="1"/>
    <n v="20"/>
    <d v="2025-10-31T00:00:00"/>
    <n v="88.2"/>
    <n v="4052.35"/>
    <n v="357417.27"/>
    <n v="871.2"/>
    <n v="76839.840000000011"/>
    <n v="3181.1499999999996"/>
    <n v="280577.43"/>
  </r>
  <r>
    <s v="RS"/>
    <s v="09/20/2024"/>
    <s v="11/06/2025"/>
    <s v="less than 24 months"/>
    <x v="1"/>
    <n v="16"/>
    <d v="2025-10-31T00:00:00"/>
    <n v="88.2"/>
    <n v="3241.88"/>
    <n v="285933.81599999999"/>
    <n v="696.96"/>
    <n v="61471.872000000003"/>
    <n v="2544.92"/>
    <n v="224461.94400000002"/>
  </r>
  <r>
    <s v="RS"/>
    <s v="09/20/2024"/>
    <s v="11/06/2025"/>
    <s v="less than 24 months"/>
    <x v="1"/>
    <n v="20"/>
    <d v="2025-10-31T00:00:00"/>
    <n v="88.2"/>
    <n v="4052.36"/>
    <n v="357418.152"/>
    <n v="871.2"/>
    <n v="76839.840000000011"/>
    <n v="3181.16"/>
    <n v="280578.31199999998"/>
  </r>
  <r>
    <s v="RS"/>
    <s v="12/20/2024"/>
    <s v="11/06/2025"/>
    <s v="less than 24 months"/>
    <x v="1"/>
    <n v="16"/>
    <d v="2025-10-31T00:00:00"/>
    <n v="88.2"/>
    <n v="3241.89"/>
    <n v="285934.69799999997"/>
    <n v="983.2"/>
    <n v="86718.24"/>
    <n v="2258.6899999999996"/>
    <n v="199216.45799999998"/>
  </r>
  <r>
    <s v="ESPP"/>
    <s v="12/15/2025"/>
    <s v="12/19/2025"/>
    <s v="less than 24 months"/>
    <x v="1"/>
    <n v="34"/>
    <d v="2025-11-29T00:00:00"/>
    <n v="88.95"/>
    <n v="7607.33"/>
    <n v="676672.00349999999"/>
    <n v="7350.1159879999996"/>
    <n v="653792.8171326"/>
    <n v="257.21401200000037"/>
    <n v="22879.186367400034"/>
  </r>
  <r>
    <s v="RS"/>
    <s v="12/20/2025"/>
    <s v="12/22/2025"/>
    <s v="less than 24 months"/>
    <x v="1"/>
    <n v="21"/>
    <d v="2025-11-29T00:00:00"/>
    <n v="88.95"/>
    <n v="4930.5499950000003"/>
    <n v="438572.42205525003"/>
    <n v="3180.45"/>
    <n v="282901.02749999997"/>
    <n v="1750.0999950000005"/>
    <n v="155671.39455525004"/>
  </r>
  <r>
    <s v="RS"/>
    <s v="12/20/2025"/>
    <s v="12/22/2025"/>
    <s v="less than 24 months"/>
    <x v="1"/>
    <n v="10"/>
    <d v="2025-11-29T00:00:00"/>
    <n v="88.95"/>
    <n v="2347.89"/>
    <n v="208844.8155"/>
    <n v="1514.5"/>
    <n v="134714.77499999999"/>
    <n v="833.38999999999987"/>
    <n v="74130.040499999988"/>
  </r>
  <r>
    <s v="RS"/>
    <s v="12/20/2025"/>
    <s v="12/22/2025"/>
    <s v="less than 24 months"/>
    <x v="1"/>
    <n v="16"/>
    <d v="2025-11-29T00:00:00"/>
    <n v="88.95"/>
    <n v="3756.61"/>
    <n v="334150.4595"/>
    <n v="2423.1999999999998"/>
    <n v="215543.63999999998"/>
    <n v="1333.4100000000003"/>
    <n v="118606.81950000003"/>
  </r>
  <r>
    <s v="RS"/>
    <s v="03/20/2026"/>
    <s v="03/23/2026"/>
    <s v="less than 24 months"/>
    <x v="1"/>
    <n v="16"/>
    <d v="2026-02-27T00:00:00"/>
    <n v="90.56"/>
    <n v="6556.75"/>
    <n v="593779.28"/>
    <n v="2423.1999999999998"/>
    <n v="219444.992"/>
    <n v="4133.55"/>
    <n v="374334.288"/>
  </r>
  <r>
    <s v="RS"/>
    <s v="03/20/2026"/>
    <s v="03/23/2026"/>
    <s v="less than 24 months"/>
    <x v="1"/>
    <n v="9"/>
    <d v="2026-02-27T00:00:00"/>
    <n v="90.56"/>
    <n v="3688.1700030000002"/>
    <n v="334000.67547168001"/>
    <n v="1363.05"/>
    <n v="123437.808"/>
    <n v="2325.120003"/>
    <n v="210562.86747168002"/>
  </r>
  <r>
    <s v="RS"/>
    <s v="03/20/2026"/>
    <s v="03/23/2026"/>
    <s v="less than 24 months"/>
    <x v="1"/>
    <n v="4"/>
    <d v="2026-02-27T00:00:00"/>
    <n v="90.56"/>
    <n v="1639.19"/>
    <n v="148445.04640000002"/>
    <n v="605.79999999999995"/>
    <n v="54861.248"/>
    <n v="1033.3900000000001"/>
    <n v="93583.798400000014"/>
  </r>
  <r>
    <s v="RS"/>
    <s v="03/20/2026"/>
    <s v="03/23/2026"/>
    <s v="less than 24 months"/>
    <x v="1"/>
    <n v="20"/>
    <d v="2026-02-27T00:00:00"/>
    <n v="90.56"/>
    <n v="8195.94"/>
    <n v="742224.32640000002"/>
    <n v="3029"/>
    <n v="274306.24"/>
    <n v="5166.9400000000005"/>
    <n v="467918.08640000003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">
  <r>
    <m/>
    <m/>
    <x v="0"/>
    <m/>
    <m/>
    <m/>
    <s v="USD"/>
    <s v="INR"/>
    <s v="USD"/>
    <s v="INR"/>
    <s v="USD"/>
    <s v="INR"/>
  </r>
  <r>
    <s v="06/18/2025"/>
    <s v="less than 24 months"/>
    <x v="1"/>
    <n v="21"/>
    <d v="2025-05-31T00:00:00"/>
    <n v="85.1"/>
    <n v="1550.4200040000001"/>
    <n v="131940.7423404"/>
    <n v="1290.45"/>
    <n v="109817.295"/>
    <n v="259.97000400000002"/>
    <n v="22123.447340399998"/>
  </r>
  <r>
    <s v="06/18/2025"/>
    <s v="less than 24 months"/>
    <x v="1"/>
    <n v="16"/>
    <d v="2025-05-31T00:00:00"/>
    <n v="85.1"/>
    <n v="1181.27"/>
    <n v="100526.07699999999"/>
    <n v="983.2"/>
    <n v="83670.319999999992"/>
    <n v="198.06999999999994"/>
    <n v="16855.756999999994"/>
  </r>
  <r>
    <s v="06/18/2025"/>
    <s v="less than 24 months"/>
    <x v="1"/>
    <n v="20"/>
    <d v="2025-05-31T00:00:00"/>
    <n v="85.1"/>
    <n v="1476.59"/>
    <n v="125657.80899999998"/>
    <n v="1229"/>
    <n v="104587.9"/>
    <n v="247.58999999999992"/>
    <n v="21069.908999999992"/>
  </r>
  <r>
    <s v="06/18/2025"/>
    <s v="less than 24 months"/>
    <x v="1"/>
    <n v="9"/>
    <d v="2025-05-31T00:00:00"/>
    <n v="85.1"/>
    <n v="664.46000100000003"/>
    <n v="56545.546085100003"/>
    <n v="553.04999999999995"/>
    <n v="47064.554999999993"/>
    <n v="111.41000100000008"/>
    <n v="9480.9910851000059"/>
  </r>
  <r>
    <s v="06/18/2025"/>
    <s v="less than 24 months"/>
    <x v="1"/>
    <n v="34"/>
    <d v="2025-05-31T00:00:00"/>
    <n v="85.1"/>
    <n v="2506.7300019999998"/>
    <n v="213322.72317019996"/>
    <n v="2453.4359880000002"/>
    <n v="208787.40257880001"/>
    <n v="53.294013999999606"/>
    <n v="4535.3205913999664"/>
  </r>
  <r>
    <s v="10/06/2025"/>
    <s v="more than 24 months"/>
    <x v="2"/>
    <n v="66"/>
    <d v="2025-09-30T00:00:00"/>
    <n v="88.35"/>
    <n v="10437.030054000001"/>
    <n v="922111.60527089995"/>
    <n v="2847.9"/>
    <n v="251611.965"/>
    <n v="7589.1300540000011"/>
    <n v="670499.6402709001"/>
  </r>
  <r>
    <s v="10/06/2025"/>
    <s v="less than 24 months"/>
    <x v="1"/>
    <n v="16"/>
    <d v="2025-09-30T00:00:00"/>
    <n v="88.35"/>
    <n v="2530.1799999999998"/>
    <n v="223541.40299999996"/>
    <n v="856"/>
    <n v="75627.599999999991"/>
    <n v="1674.1799999999998"/>
    <n v="147913.80299999999"/>
  </r>
  <r>
    <s v="10/06/2025"/>
    <s v="less than 24 months"/>
    <x v="1"/>
    <n v="20"/>
    <d v="2025-09-30T00:00:00"/>
    <n v="88.35"/>
    <n v="3162.74"/>
    <n v="279428.07899999997"/>
    <n v="1070"/>
    <n v="94534.5"/>
    <n v="2092.7399999999998"/>
    <n v="184893.57899999997"/>
  </r>
  <r>
    <s v="10/06/2025"/>
    <s v="less than 24 months"/>
    <x v="1"/>
    <n v="10"/>
    <d v="2025-09-30T00:00:00"/>
    <n v="88.35"/>
    <n v="1581.37"/>
    <n v="139714.03949999998"/>
    <n v="535"/>
    <n v="47267.25"/>
    <n v="1046.3699999999999"/>
    <n v="92446.789499999984"/>
  </r>
  <r>
    <s v="10/06/2025"/>
    <s v="less than 24 months"/>
    <x v="1"/>
    <n v="16"/>
    <d v="2025-09-30T00:00:00"/>
    <n v="88.35"/>
    <n v="2530.1799999999998"/>
    <n v="223541.40299999996"/>
    <n v="856"/>
    <n v="75627.599999999991"/>
    <n v="1674.1799999999998"/>
    <n v="147913.80299999999"/>
  </r>
  <r>
    <s v="10/06/2025"/>
    <s v="less than 24 months"/>
    <x v="1"/>
    <n v="20"/>
    <d v="2025-09-30T00:00:00"/>
    <n v="88.35"/>
    <n v="3162.74"/>
    <n v="279428.07899999997"/>
    <n v="1070"/>
    <n v="94534.5"/>
    <n v="2092.7399999999998"/>
    <n v="184893.57899999997"/>
  </r>
  <r>
    <s v="10/06/2025"/>
    <s v="less than 24 months"/>
    <x v="1"/>
    <n v="9"/>
    <d v="2025-09-30T00:00:00"/>
    <n v="88.35"/>
    <n v="1423.2300029999999"/>
    <n v="125742.37076504999"/>
    <n v="481.5"/>
    <n v="42540.524999999994"/>
    <n v="941.7300029999999"/>
    <n v="83201.845765049991"/>
  </r>
  <r>
    <s v="11/06/2025"/>
    <s v="less than 24 months"/>
    <x v="1"/>
    <n v="16"/>
    <d v="2025-10-31T00:00:00"/>
    <n v="88.2"/>
    <n v="3241.88"/>
    <n v="285933.81599999999"/>
    <n v="649.6"/>
    <n v="57294.720000000001"/>
    <n v="2592.2800000000002"/>
    <n v="228639.09600000002"/>
  </r>
  <r>
    <s v="11/06/2025"/>
    <s v="less than 24 months"/>
    <x v="1"/>
    <n v="20"/>
    <d v="2025-10-31T00:00:00"/>
    <n v="88.2"/>
    <n v="4052.35"/>
    <n v="357417.27"/>
    <n v="812"/>
    <n v="71618.400000000009"/>
    <n v="3240.35"/>
    <n v="285798.87"/>
  </r>
  <r>
    <s v="11/06/2025"/>
    <s v="less than 24 months"/>
    <x v="1"/>
    <n v="16"/>
    <d v="2025-10-31T00:00:00"/>
    <n v="88.2"/>
    <n v="3241.88"/>
    <n v="285933.81599999999"/>
    <n v="649.6"/>
    <n v="57294.720000000001"/>
    <n v="2592.2800000000002"/>
    <n v="228639.09600000002"/>
  </r>
  <r>
    <s v="11/06/2025"/>
    <s v="less than 24 months"/>
    <x v="1"/>
    <n v="16"/>
    <d v="2025-10-31T00:00:00"/>
    <n v="88.2"/>
    <n v="3241.88"/>
    <n v="285933.81599999999"/>
    <n v="696.96"/>
    <n v="61471.872000000003"/>
    <n v="2544.92"/>
    <n v="224461.94400000002"/>
  </r>
  <r>
    <s v="11/06/2025"/>
    <s v="less than 24 months"/>
    <x v="1"/>
    <n v="20"/>
    <d v="2025-10-31T00:00:00"/>
    <n v="88.2"/>
    <n v="4052.35"/>
    <n v="357417.27"/>
    <n v="871.2"/>
    <n v="76839.840000000011"/>
    <n v="3181.1499999999996"/>
    <n v="280577.43"/>
  </r>
  <r>
    <s v="11/06/2025"/>
    <s v="less than 24 months"/>
    <x v="1"/>
    <n v="16"/>
    <d v="2025-10-31T00:00:00"/>
    <n v="88.2"/>
    <n v="3241.88"/>
    <n v="285933.81599999999"/>
    <n v="696.96"/>
    <n v="61471.872000000003"/>
    <n v="2544.92"/>
    <n v="224461.94400000002"/>
  </r>
  <r>
    <s v="11/06/2025"/>
    <s v="less than 24 months"/>
    <x v="1"/>
    <n v="20"/>
    <d v="2025-10-31T00:00:00"/>
    <n v="88.2"/>
    <n v="4052.36"/>
    <n v="357418.152"/>
    <n v="871.2"/>
    <n v="76839.840000000011"/>
    <n v="3181.16"/>
    <n v="280578.31199999998"/>
  </r>
  <r>
    <s v="11/06/2025"/>
    <s v="less than 24 months"/>
    <x v="1"/>
    <n v="16"/>
    <d v="2025-10-31T00:00:00"/>
    <n v="88.2"/>
    <n v="3241.89"/>
    <n v="285934.69799999997"/>
    <n v="983.2"/>
    <n v="86718.24"/>
    <n v="2258.6899999999996"/>
    <n v="199216.45799999998"/>
  </r>
  <r>
    <s v="12/19/2025"/>
    <s v="less than 24 months"/>
    <x v="1"/>
    <n v="34"/>
    <d v="2025-11-29T00:00:00"/>
    <n v="88.95"/>
    <n v="7607.33"/>
    <n v="676672.00349999999"/>
    <n v="7350.1159879999996"/>
    <n v="653792.8171326"/>
    <n v="257.21401200000037"/>
    <n v="22879.186367400034"/>
  </r>
  <r>
    <s v="12/22/2025"/>
    <s v="less than 24 months"/>
    <x v="1"/>
    <n v="21"/>
    <d v="2025-11-29T00:00:00"/>
    <n v="88.95"/>
    <n v="4930.5499950000003"/>
    <n v="438572.42205525003"/>
    <n v="3180.45"/>
    <n v="282901.02749999997"/>
    <n v="1750.0999950000005"/>
    <n v="155671.39455525004"/>
  </r>
  <r>
    <s v="12/22/2025"/>
    <s v="less than 24 months"/>
    <x v="1"/>
    <n v="10"/>
    <d v="2025-11-29T00:00:00"/>
    <n v="88.95"/>
    <n v="2347.89"/>
    <n v="208844.8155"/>
    <n v="1514.5"/>
    <n v="134714.77499999999"/>
    <n v="833.38999999999987"/>
    <n v="74130.040499999988"/>
  </r>
  <r>
    <s v="12/22/2025"/>
    <s v="less than 24 months"/>
    <x v="1"/>
    <n v="16"/>
    <d v="2025-11-29T00:00:00"/>
    <n v="88.95"/>
    <n v="3756.61"/>
    <n v="334150.4595"/>
    <n v="2423.1999999999998"/>
    <n v="215543.63999999998"/>
    <n v="1333.4100000000003"/>
    <n v="118606.81950000003"/>
  </r>
  <r>
    <s v="03/23/2026"/>
    <s v="less than 24 months"/>
    <x v="1"/>
    <n v="16"/>
    <d v="2026-02-27T00:00:00"/>
    <n v="90.56"/>
    <n v="6556.75"/>
    <n v="593779.28"/>
    <n v="2423.1999999999998"/>
    <n v="219444.992"/>
    <n v="4133.55"/>
    <n v="374334.288"/>
  </r>
  <r>
    <s v="03/23/2026"/>
    <s v="less than 24 months"/>
    <x v="1"/>
    <n v="9"/>
    <d v="2026-02-27T00:00:00"/>
    <n v="90.56"/>
    <n v="3688.1700030000002"/>
    <n v="334000.67547168001"/>
    <n v="1363.05"/>
    <n v="123437.808"/>
    <n v="2325.120003"/>
    <n v="210562.86747168002"/>
  </r>
  <r>
    <s v="03/23/2026"/>
    <s v="less than 24 months"/>
    <x v="1"/>
    <n v="4"/>
    <d v="2026-02-27T00:00:00"/>
    <n v="90.56"/>
    <n v="1639.19"/>
    <n v="148445.04640000002"/>
    <n v="605.79999999999995"/>
    <n v="54861.248"/>
    <n v="1033.3900000000001"/>
    <n v="93583.798400000014"/>
  </r>
  <r>
    <s v="03/23/2026"/>
    <s v="less than 24 months"/>
    <x v="1"/>
    <n v="20"/>
    <d v="2026-02-27T00:00:00"/>
    <n v="90.56"/>
    <n v="8195.94"/>
    <n v="742224.32640000002"/>
    <n v="3029"/>
    <n v="274306.24"/>
    <n v="5166.9400000000005"/>
    <n v="467918.0864000000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2F3E9B5-61C3-47BE-8DC9-1DC483CF351F}" name="PivotTable5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36:I40" firstHeaderRow="0" firstDataRow="1" firstDataCol="1"/>
  <pivotFields count="12">
    <pivotField showAll="0"/>
    <pivotField showAll="0"/>
    <pivotField axis="axisRow" showAll="0">
      <items count="4">
        <item x="2"/>
        <item x="1"/>
        <item x="0"/>
        <item t="default"/>
      </items>
    </pivotField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dataField="1" showAll="0"/>
  </pivotFields>
  <rowFields count="1">
    <field x="2"/>
  </rowFields>
  <rowItems count="4">
    <i>
      <x/>
    </i>
    <i>
      <x v="1"/>
    </i>
    <i>
      <x v="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ale" fld="7" baseField="2" baseItem="0"/>
    <dataField name="Cost" fld="9" baseField="2" baseItem="0"/>
    <dataField name="Cap Gain" fld="11" baseField="2" baseItem="0"/>
  </dataFields>
  <formats count="2">
    <format dxfId="1">
      <pivotArea collapsedLevelsAreSubtotals="1" fieldPosition="0">
        <references count="1">
          <reference field="2" count="0"/>
        </references>
      </pivotArea>
    </format>
    <format dxfId="0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663396C-C8D8-4929-911E-E66FE4A8002F}" name="PivotTable1" cacheId="2" applyNumberFormats="0" applyBorderFormats="0" applyFontFormats="0" applyPatternFormats="0" applyAlignmentFormats="0" applyWidthHeightFormats="1" dataCaption="Values" updatedVersion="8" minRefreshableVersion="3" itemPrintTitles="1" createdVersion="8" indent="0" outline="1" outlineData="1" multipleFieldFilters="0">
  <location ref="A36:D40" firstHeaderRow="0" firstDataRow="1" firstDataCol="1"/>
  <pivotFields count="14">
    <pivotField showAll="0"/>
    <pivotField showAll="0"/>
    <pivotField showAll="0"/>
    <pivotField showAll="0"/>
    <pivotField axis="axisRow" showAll="0">
      <items count="4">
        <item x="2"/>
        <item x="1"/>
        <item x="0"/>
        <item t="default"/>
      </items>
    </pivotField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dataField="1" showAll="0"/>
  </pivotFields>
  <rowFields count="1">
    <field x="4"/>
  </rowFields>
  <rowItems count="4">
    <i>
      <x/>
    </i>
    <i>
      <x v="1"/>
    </i>
    <i>
      <x v="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ale" fld="9" baseField="4" baseItem="0"/>
    <dataField name="Cost" fld="11" baseField="4" baseItem="0"/>
    <dataField name="Capital Gain" fld="13" baseField="4" baseItem="0"/>
  </dataFields>
  <formats count="1">
    <format dxfId="2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rganic">
  <a:themeElements>
    <a:clrScheme name="Organic">
      <a:dk1>
        <a:sysClr val="windowText" lastClr="000000"/>
      </a:dk1>
      <a:lt1>
        <a:sysClr val="window" lastClr="FFFFFF"/>
      </a:lt1>
      <a:dk2>
        <a:srgbClr val="212121"/>
      </a:dk2>
      <a:lt2>
        <a:srgbClr val="DADADA"/>
      </a:lt2>
      <a:accent1>
        <a:srgbClr val="83992A"/>
      </a:accent1>
      <a:accent2>
        <a:srgbClr val="3C9770"/>
      </a:accent2>
      <a:accent3>
        <a:srgbClr val="44709D"/>
      </a:accent3>
      <a:accent4>
        <a:srgbClr val="A23C33"/>
      </a:accent4>
      <a:accent5>
        <a:srgbClr val="D97828"/>
      </a:accent5>
      <a:accent6>
        <a:srgbClr val="DEB340"/>
      </a:accent6>
      <a:hlink>
        <a:srgbClr val="A8BF4D"/>
      </a:hlink>
      <a:folHlink>
        <a:srgbClr val="B4CA80"/>
      </a:folHlink>
    </a:clrScheme>
    <a:fontScheme name="Organic">
      <a:majorFont>
        <a:latin typeface="Garamond" panose="02020404030301010803"/>
        <a:ea typeface=""/>
        <a:cs typeface="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Garamond" panose="02020404030301010803"/>
        <a:ea typeface=""/>
        <a:cs typeface=""/>
        <a:font script="Jpan" typeface="ＭＳ Ｐ明朝"/>
        <a:font script="Hang" typeface="바탕"/>
        <a:font script="Hans" typeface="方正舒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rganic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10000"/>
              </a:schemeClr>
            </a:gs>
            <a:gs pos="100000">
              <a:schemeClr val="phClr">
                <a:tint val="82000"/>
              </a:schemeClr>
            </a:gs>
          </a:gsLst>
          <a:lin ang="5400000" scaled="0"/>
        </a:gradFill>
        <a:blipFill>
          <a:blip xmlns:r="http://schemas.openxmlformats.org/officeDocument/2006/relationships" r:embed="rId1">
            <a:duotone>
              <a:schemeClr val="phClr">
                <a:shade val="74000"/>
                <a:satMod val="130000"/>
                <a:lumMod val="90000"/>
              </a:schemeClr>
              <a:schemeClr val="phClr">
                <a:tint val="94000"/>
                <a:satMod val="120000"/>
                <a:lumMod val="104000"/>
              </a:schemeClr>
            </a:duotone>
          </a:blip>
          <a:tile tx="0" ty="0" sx="100000" sy="100000" flip="none" algn="tl"/>
        </a:blip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38100" dist="254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88000"/>
                <a:lumMod val="98000"/>
              </a:schemeClr>
            </a:gs>
          </a:gsLst>
          <a:lin ang="5400000" scaled="0"/>
        </a:gradFill>
        <a:blipFill>
          <a:blip xmlns:r="http://schemas.openxmlformats.org/officeDocument/2006/relationships" r:embed="rId2"/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rganic" id="{28CDC826-8792-45C0-861B-85EB3ADEDA33}" vid="{7DAC20F1-423D-49E2-BD0B-50532748BAD0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52509-13E7-461D-A1DB-03601F8584A6}">
  <dimension ref="A1:C15"/>
  <sheetViews>
    <sheetView zoomScale="310" zoomScaleNormal="310" workbookViewId="0">
      <selection activeCell="C6" sqref="C6"/>
    </sheetView>
  </sheetViews>
  <sheetFormatPr defaultRowHeight="14.5" x14ac:dyDescent="0.35"/>
  <cols>
    <col min="1" max="1" width="53" customWidth="1"/>
    <col min="2" max="2" width="38.19921875" customWidth="1"/>
  </cols>
  <sheetData>
    <row r="1" spans="1:3" x14ac:dyDescent="0.35">
      <c r="A1" s="52" t="s">
        <v>94</v>
      </c>
      <c r="B1" s="53"/>
    </row>
    <row r="2" spans="1:3" x14ac:dyDescent="0.35">
      <c r="A2" s="54" t="s">
        <v>95</v>
      </c>
      <c r="B2" s="55">
        <v>1050250</v>
      </c>
    </row>
    <row r="3" spans="1:3" x14ac:dyDescent="0.35">
      <c r="A3" s="56" t="s">
        <v>96</v>
      </c>
      <c r="B3" s="57">
        <f>+B2</f>
        <v>1050250</v>
      </c>
    </row>
    <row r="4" spans="1:3" x14ac:dyDescent="0.35">
      <c r="A4" s="54" t="s">
        <v>97</v>
      </c>
      <c r="B4" s="58">
        <v>64360</v>
      </c>
    </row>
    <row r="5" spans="1:3" x14ac:dyDescent="0.35">
      <c r="A5" s="54" t="s">
        <v>98</v>
      </c>
      <c r="B5" s="58">
        <v>2583295</v>
      </c>
      <c r="C5">
        <f>+B4+B5</f>
        <v>2647655</v>
      </c>
    </row>
    <row r="6" spans="1:3" x14ac:dyDescent="0.35">
      <c r="A6" s="56" t="s">
        <v>99</v>
      </c>
      <c r="B6" s="57">
        <f>+B4+B5</f>
        <v>2647655</v>
      </c>
    </row>
    <row r="7" spans="1:3" x14ac:dyDescent="0.35">
      <c r="A7" s="56" t="s">
        <v>100</v>
      </c>
      <c r="B7" s="57">
        <v>0</v>
      </c>
    </row>
    <row r="8" spans="1:3" x14ac:dyDescent="0.35">
      <c r="A8" s="59" t="s">
        <v>101</v>
      </c>
      <c r="B8" s="60">
        <f>+B3+B6+B7</f>
        <v>3697905</v>
      </c>
    </row>
    <row r="9" spans="1:3" x14ac:dyDescent="0.35">
      <c r="A9" s="54" t="s">
        <v>102</v>
      </c>
      <c r="B9" s="58"/>
    </row>
    <row r="10" spans="1:3" x14ac:dyDescent="0.35">
      <c r="A10" s="54" t="s">
        <v>103</v>
      </c>
      <c r="B10" s="58">
        <v>0</v>
      </c>
    </row>
    <row r="11" spans="1:3" x14ac:dyDescent="0.35">
      <c r="A11" s="54" t="s">
        <v>104</v>
      </c>
      <c r="B11" s="58">
        <v>0</v>
      </c>
    </row>
    <row r="12" spans="1:3" x14ac:dyDescent="0.35">
      <c r="A12" s="54" t="s">
        <v>105</v>
      </c>
      <c r="B12" s="58">
        <v>75000</v>
      </c>
    </row>
    <row r="13" spans="1:3" x14ac:dyDescent="0.35">
      <c r="A13" s="54" t="s">
        <v>106</v>
      </c>
      <c r="B13" s="58">
        <v>0</v>
      </c>
    </row>
    <row r="14" spans="1:3" x14ac:dyDescent="0.35">
      <c r="A14" s="54" t="s">
        <v>107</v>
      </c>
      <c r="B14" s="58">
        <v>0</v>
      </c>
    </row>
    <row r="15" spans="1:3" ht="15" thickBot="1" x14ac:dyDescent="0.4">
      <c r="A15" s="61" t="s">
        <v>108</v>
      </c>
      <c r="B15" s="62">
        <f>+B8-B12</f>
        <v>3622905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A60B5-7A79-4D5A-B3E3-597EBB36ED19}">
  <dimension ref="B1:J37"/>
  <sheetViews>
    <sheetView showGridLines="0" tabSelected="1" zoomScale="220" zoomScaleNormal="220" workbookViewId="0">
      <selection activeCell="H14" sqref="H14"/>
    </sheetView>
  </sheetViews>
  <sheetFormatPr defaultRowHeight="14.5" x14ac:dyDescent="0.35"/>
  <cols>
    <col min="1" max="1" width="2.69921875" customWidth="1"/>
    <col min="2" max="2" width="11.5" customWidth="1"/>
    <col min="3" max="3" width="39.09765625" customWidth="1"/>
    <col min="4" max="4" width="17.8984375" bestFit="1" customWidth="1"/>
    <col min="5" max="5" width="4.59765625" customWidth="1"/>
    <col min="6" max="6" width="11.59765625" customWidth="1"/>
    <col min="7" max="7" width="36.3984375" customWidth="1"/>
    <col min="8" max="8" width="11" bestFit="1" customWidth="1"/>
  </cols>
  <sheetData>
    <row r="1" spans="2:10" ht="14.5" customHeight="1" x14ac:dyDescent="0.35">
      <c r="B1" s="46" t="s">
        <v>17</v>
      </c>
      <c r="C1" s="46"/>
      <c r="D1" s="21" t="s">
        <v>91</v>
      </c>
      <c r="F1" s="46" t="s">
        <v>19</v>
      </c>
      <c r="G1" s="46"/>
      <c r="H1" s="21" t="s">
        <v>92</v>
      </c>
      <c r="I1" s="21" t="s">
        <v>93</v>
      </c>
      <c r="J1" s="21" t="s">
        <v>5</v>
      </c>
    </row>
    <row r="2" spans="2:10" x14ac:dyDescent="0.35">
      <c r="B2" s="44" t="s">
        <v>7</v>
      </c>
      <c r="C2" s="44"/>
      <c r="D2" s="40">
        <v>250360</v>
      </c>
      <c r="F2" s="45" t="s">
        <v>7</v>
      </c>
      <c r="G2" s="45"/>
      <c r="H2" s="41">
        <v>1202949</v>
      </c>
      <c r="I2" s="41">
        <f>+GETPIVOTDATA("Sale",'E TRADE'!$A$36,"Nature (2)","Short")</f>
        <v>7877999.9546876792</v>
      </c>
      <c r="J2" s="41">
        <f>+I2+H2</f>
        <v>9080948.9546876792</v>
      </c>
    </row>
    <row r="3" spans="2:10" x14ac:dyDescent="0.35">
      <c r="B3" s="44" t="s">
        <v>8</v>
      </c>
      <c r="C3" s="44" t="s">
        <v>8</v>
      </c>
      <c r="D3" s="40">
        <v>2536</v>
      </c>
      <c r="F3" s="45" t="s">
        <v>8</v>
      </c>
      <c r="G3" s="45" t="s">
        <v>8</v>
      </c>
      <c r="H3" s="41">
        <v>0</v>
      </c>
      <c r="I3" s="41">
        <v>0</v>
      </c>
      <c r="J3" s="41">
        <f t="shared" ref="J3:J6" si="0">+I3+H3</f>
        <v>0</v>
      </c>
    </row>
    <row r="4" spans="2:10" x14ac:dyDescent="0.35">
      <c r="B4" s="44" t="s">
        <v>9</v>
      </c>
      <c r="C4" s="44" t="s">
        <v>9</v>
      </c>
      <c r="D4" s="40">
        <f>+D2-D3</f>
        <v>247824</v>
      </c>
      <c r="F4" s="45" t="s">
        <v>9</v>
      </c>
      <c r="G4" s="45" t="s">
        <v>9</v>
      </c>
      <c r="H4" s="41">
        <f>+H2-H3</f>
        <v>1202949</v>
      </c>
      <c r="I4" s="41">
        <f>+I2-I3</f>
        <v>7877999.9546876792</v>
      </c>
      <c r="J4" s="41">
        <f t="shared" si="0"/>
        <v>9080948.9546876792</v>
      </c>
    </row>
    <row r="5" spans="2:10" x14ac:dyDescent="0.35">
      <c r="B5" s="44" t="s">
        <v>10</v>
      </c>
      <c r="C5" s="44" t="s">
        <v>10</v>
      </c>
      <c r="D5" s="40">
        <v>190263</v>
      </c>
      <c r="F5" s="45" t="s">
        <v>10</v>
      </c>
      <c r="G5" s="45" t="s">
        <v>10</v>
      </c>
      <c r="H5" s="41">
        <v>1181175.8415000001</v>
      </c>
      <c r="I5" s="41">
        <f>+GETPIVOTDATA("Cost",'E TRADE'!$A$36,"Nature (2)","Short")</f>
        <v>3492611.4992114007</v>
      </c>
      <c r="J5" s="41">
        <f t="shared" si="0"/>
        <v>4673787.3407114008</v>
      </c>
    </row>
    <row r="6" spans="2:10" x14ac:dyDescent="0.35">
      <c r="B6" s="44" t="s">
        <v>11</v>
      </c>
      <c r="C6" s="44" t="s">
        <v>11</v>
      </c>
      <c r="D6" s="40">
        <v>0</v>
      </c>
      <c r="F6" s="45" t="s">
        <v>11</v>
      </c>
      <c r="G6" s="45" t="s">
        <v>11</v>
      </c>
      <c r="H6" s="41">
        <v>0</v>
      </c>
      <c r="I6" s="41">
        <v>0</v>
      </c>
      <c r="J6" s="41">
        <f t="shared" si="0"/>
        <v>0</v>
      </c>
    </row>
    <row r="7" spans="2:10" x14ac:dyDescent="0.35">
      <c r="B7" s="44" t="s">
        <v>12</v>
      </c>
      <c r="C7" s="44"/>
      <c r="D7" s="40">
        <f>+D4-D5-D6</f>
        <v>57561</v>
      </c>
      <c r="F7" s="45" t="s">
        <v>12</v>
      </c>
      <c r="G7" s="45"/>
      <c r="H7" s="41">
        <f>+H4-H5-H6</f>
        <v>21773.158499999903</v>
      </c>
      <c r="I7" s="41">
        <f>+I4-I5-I6</f>
        <v>4385388.4554762784</v>
      </c>
      <c r="J7" s="41">
        <f>+J4-J5</f>
        <v>4407161.6139762783</v>
      </c>
    </row>
    <row r="10" spans="2:10" x14ac:dyDescent="0.35">
      <c r="B10" s="47" t="s">
        <v>18</v>
      </c>
      <c r="C10" s="47"/>
      <c r="D10" s="21" t="s">
        <v>91</v>
      </c>
      <c r="F10" s="47" t="s">
        <v>20</v>
      </c>
      <c r="G10" s="47"/>
      <c r="H10" s="21" t="s">
        <v>93</v>
      </c>
    </row>
    <row r="11" spans="2:10" x14ac:dyDescent="0.35">
      <c r="B11" s="44" t="s">
        <v>7</v>
      </c>
      <c r="C11" s="44"/>
      <c r="D11" s="40">
        <v>175323</v>
      </c>
      <c r="F11" s="45" t="s">
        <v>7</v>
      </c>
      <c r="G11" s="45"/>
      <c r="H11" s="42">
        <f>+GETPIVOTDATA("Sale",'E TRADE'!$A$36,"Nature (2)","Long")</f>
        <v>922111.60527089995</v>
      </c>
    </row>
    <row r="12" spans="2:10" x14ac:dyDescent="0.35">
      <c r="B12" s="44" t="s">
        <v>8</v>
      </c>
      <c r="C12" s="44"/>
      <c r="D12" s="40">
        <v>1569</v>
      </c>
      <c r="F12" s="45" t="s">
        <v>8</v>
      </c>
      <c r="G12" s="45"/>
      <c r="H12" s="42">
        <v>0</v>
      </c>
    </row>
    <row r="13" spans="2:10" x14ac:dyDescent="0.35">
      <c r="B13" s="44" t="s">
        <v>9</v>
      </c>
      <c r="C13" s="44"/>
      <c r="D13" s="40">
        <f>+D11-D12</f>
        <v>173754</v>
      </c>
      <c r="F13" s="45" t="s">
        <v>9</v>
      </c>
      <c r="G13" s="45"/>
      <c r="H13" s="42">
        <f>+H11-H12</f>
        <v>922111.60527089995</v>
      </c>
    </row>
    <row r="14" spans="2:10" x14ac:dyDescent="0.35">
      <c r="B14" s="44" t="s">
        <v>15</v>
      </c>
      <c r="C14" s="44"/>
      <c r="D14" s="40">
        <v>77051</v>
      </c>
      <c r="F14" s="45" t="s">
        <v>15</v>
      </c>
      <c r="G14" s="45"/>
      <c r="H14" s="42">
        <f>+GETPIVOTDATA("Cost",'E TRADE'!$A$36,"Nature (2)","Long")</f>
        <v>251611.965</v>
      </c>
    </row>
    <row r="15" spans="2:10" x14ac:dyDescent="0.35">
      <c r="B15" s="44" t="s">
        <v>13</v>
      </c>
      <c r="C15" s="44"/>
      <c r="D15" s="40">
        <v>0</v>
      </c>
      <c r="F15" s="45" t="s">
        <v>13</v>
      </c>
      <c r="G15" s="45"/>
      <c r="H15" s="42">
        <v>0</v>
      </c>
    </row>
    <row r="16" spans="2:10" x14ac:dyDescent="0.35">
      <c r="B16" s="44" t="s">
        <v>14</v>
      </c>
      <c r="C16" s="44"/>
      <c r="D16" s="40">
        <f>+D13-D14-D15</f>
        <v>96703</v>
      </c>
      <c r="F16" s="45" t="s">
        <v>14</v>
      </c>
      <c r="G16" s="45"/>
      <c r="H16" s="42">
        <f>+H13-H14-H15</f>
        <v>670499.64027089998</v>
      </c>
    </row>
    <row r="20" spans="4:7" x14ac:dyDescent="0.35">
      <c r="D20" s="6"/>
      <c r="G20" s="6"/>
    </row>
    <row r="28" spans="4:7" x14ac:dyDescent="0.35">
      <c r="E28" s="24"/>
    </row>
    <row r="29" spans="4:7" x14ac:dyDescent="0.35">
      <c r="E29" s="7"/>
    </row>
    <row r="30" spans="4:7" x14ac:dyDescent="0.35">
      <c r="E30" s="7"/>
    </row>
    <row r="31" spans="4:7" x14ac:dyDescent="0.35">
      <c r="E31" s="7"/>
    </row>
    <row r="32" spans="4:7" x14ac:dyDescent="0.35">
      <c r="E32" s="7"/>
    </row>
    <row r="33" spans="4:5" x14ac:dyDescent="0.35">
      <c r="E33" s="7"/>
    </row>
    <row r="34" spans="4:5" x14ac:dyDescent="0.35">
      <c r="E34" s="7"/>
    </row>
    <row r="37" spans="4:5" x14ac:dyDescent="0.35">
      <c r="D37" s="8"/>
    </row>
  </sheetData>
  <mergeCells count="28">
    <mergeCell ref="B2:C2"/>
    <mergeCell ref="B3:C3"/>
    <mergeCell ref="B4:C4"/>
    <mergeCell ref="B5:C5"/>
    <mergeCell ref="B1:C1"/>
    <mergeCell ref="B16:C16"/>
    <mergeCell ref="F15:G15"/>
    <mergeCell ref="F16:G16"/>
    <mergeCell ref="F6:G6"/>
    <mergeCell ref="F7:G7"/>
    <mergeCell ref="F10:G10"/>
    <mergeCell ref="F11:G11"/>
    <mergeCell ref="F12:G12"/>
    <mergeCell ref="B6:C6"/>
    <mergeCell ref="B7:C7"/>
    <mergeCell ref="B10:C10"/>
    <mergeCell ref="F13:G13"/>
    <mergeCell ref="F14:G14"/>
    <mergeCell ref="F1:G1"/>
    <mergeCell ref="F2:G2"/>
    <mergeCell ref="F3:G3"/>
    <mergeCell ref="F4:G4"/>
    <mergeCell ref="F5:G5"/>
    <mergeCell ref="B11:C11"/>
    <mergeCell ref="B12:C12"/>
    <mergeCell ref="B13:C13"/>
    <mergeCell ref="B14:C14"/>
    <mergeCell ref="B15:C1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4B613-C62D-493A-A7FD-DFACA7173240}">
  <dimension ref="A1:P40"/>
  <sheetViews>
    <sheetView topLeftCell="C1" zoomScale="205" zoomScaleNormal="205" workbookViewId="0">
      <selection activeCell="N4" sqref="N4"/>
    </sheetView>
  </sheetViews>
  <sheetFormatPr defaultRowHeight="14.5" x14ac:dyDescent="0.35"/>
  <cols>
    <col min="2" max="2" width="14.796875" bestFit="1" customWidth="1"/>
    <col min="3" max="3" width="15.796875" bestFit="1" customWidth="1"/>
    <col min="4" max="4" width="19.5" bestFit="1" customWidth="1"/>
    <col min="5" max="5" width="15.69921875" customWidth="1"/>
    <col min="6" max="7" width="14.3984375" bestFit="1" customWidth="1"/>
    <col min="8" max="8" width="14.69921875" bestFit="1" customWidth="1"/>
    <col min="9" max="9" width="14.59765625" bestFit="1" customWidth="1"/>
    <col min="10" max="10" width="14.5" bestFit="1" customWidth="1"/>
    <col min="11" max="11" width="11.5" bestFit="1" customWidth="1"/>
    <col min="12" max="12" width="14.5" bestFit="1" customWidth="1"/>
    <col min="13" max="13" width="11.796875" bestFit="1" customWidth="1"/>
    <col min="14" max="14" width="14.5" bestFit="1" customWidth="1"/>
    <col min="16" max="16" width="14.3984375" bestFit="1" customWidth="1"/>
  </cols>
  <sheetData>
    <row r="1" spans="1:14" x14ac:dyDescent="0.35">
      <c r="A1" s="47" t="s">
        <v>89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x14ac:dyDescent="0.35">
      <c r="A2" s="21" t="s">
        <v>40</v>
      </c>
      <c r="B2" s="21" t="s">
        <v>47</v>
      </c>
      <c r="C2" s="21" t="s">
        <v>22</v>
      </c>
      <c r="D2" s="21" t="s">
        <v>53</v>
      </c>
      <c r="E2" s="21" t="s">
        <v>55</v>
      </c>
      <c r="F2" s="21" t="s">
        <v>109</v>
      </c>
      <c r="G2" s="21" t="s">
        <v>46</v>
      </c>
      <c r="H2" s="21" t="s">
        <v>45</v>
      </c>
      <c r="I2" s="47" t="s">
        <v>36</v>
      </c>
      <c r="J2" s="47"/>
      <c r="K2" s="47" t="s">
        <v>61</v>
      </c>
      <c r="L2" s="47"/>
      <c r="M2" s="47" t="s">
        <v>44</v>
      </c>
      <c r="N2" s="47"/>
    </row>
    <row r="3" spans="1:14" x14ac:dyDescent="0.35">
      <c r="A3" s="21"/>
      <c r="B3" s="21"/>
      <c r="C3" s="21"/>
      <c r="D3" s="21"/>
      <c r="E3" s="21"/>
      <c r="F3" s="21"/>
      <c r="G3" s="21"/>
      <c r="H3" s="21"/>
      <c r="I3" s="21" t="s">
        <v>37</v>
      </c>
      <c r="J3" s="21" t="s">
        <v>38</v>
      </c>
      <c r="K3" s="21" t="s">
        <v>37</v>
      </c>
      <c r="L3" s="21" t="s">
        <v>38</v>
      </c>
      <c r="M3" s="21" t="s">
        <v>37</v>
      </c>
      <c r="N3" s="21" t="s">
        <v>38</v>
      </c>
    </row>
    <row r="4" spans="1:14" x14ac:dyDescent="0.35">
      <c r="A4" s="2" t="s">
        <v>41</v>
      </c>
      <c r="B4" s="2" t="s">
        <v>33</v>
      </c>
      <c r="C4" s="2" t="s">
        <v>48</v>
      </c>
      <c r="D4" s="13" t="s">
        <v>54</v>
      </c>
      <c r="E4" s="2" t="s">
        <v>42</v>
      </c>
      <c r="F4" s="2">
        <v>21</v>
      </c>
      <c r="G4" s="13">
        <v>45808</v>
      </c>
      <c r="H4" s="2">
        <v>85.1</v>
      </c>
      <c r="I4" s="10">
        <v>1550.4200040000001</v>
      </c>
      <c r="J4" s="16">
        <f>+H4*I4</f>
        <v>131940.7423404</v>
      </c>
      <c r="K4" s="10">
        <v>1290.45</v>
      </c>
      <c r="L4" s="16">
        <f>+H4*K4</f>
        <v>109817.295</v>
      </c>
      <c r="M4" s="10">
        <f>+I4-K4</f>
        <v>259.97000400000002</v>
      </c>
      <c r="N4" s="16">
        <f>+H4*M4</f>
        <v>22123.447340399998</v>
      </c>
    </row>
    <row r="5" spans="1:14" x14ac:dyDescent="0.35">
      <c r="A5" s="2" t="s">
        <v>41</v>
      </c>
      <c r="B5" s="2" t="s">
        <v>60</v>
      </c>
      <c r="C5" s="2" t="s">
        <v>48</v>
      </c>
      <c r="D5" s="13" t="s">
        <v>54</v>
      </c>
      <c r="E5" s="2" t="s">
        <v>42</v>
      </c>
      <c r="F5" s="2">
        <v>16</v>
      </c>
      <c r="G5" s="13">
        <v>45808</v>
      </c>
      <c r="H5" s="2">
        <v>85.1</v>
      </c>
      <c r="I5" s="10">
        <v>1181.27</v>
      </c>
      <c r="J5" s="16">
        <f t="shared" ref="J5:J31" si="0">+H5*I5</f>
        <v>100526.07699999999</v>
      </c>
      <c r="K5" s="10">
        <v>983.2</v>
      </c>
      <c r="L5" s="16">
        <f t="shared" ref="L5:L31" si="1">+H5*K5</f>
        <v>83670.319999999992</v>
      </c>
      <c r="M5" s="10">
        <f t="shared" ref="M5:M31" si="2">+I5-K5</f>
        <v>198.06999999999994</v>
      </c>
      <c r="N5" s="16">
        <f t="shared" ref="N5:N31" si="3">+H5*M5</f>
        <v>16855.756999999994</v>
      </c>
    </row>
    <row r="6" spans="1:14" x14ac:dyDescent="0.35">
      <c r="A6" s="2" t="s">
        <v>41</v>
      </c>
      <c r="B6" s="2" t="s">
        <v>60</v>
      </c>
      <c r="C6" s="2" t="s">
        <v>48</v>
      </c>
      <c r="D6" s="13" t="s">
        <v>54</v>
      </c>
      <c r="E6" s="2" t="s">
        <v>42</v>
      </c>
      <c r="F6" s="2">
        <v>20</v>
      </c>
      <c r="G6" s="13">
        <v>45808</v>
      </c>
      <c r="H6" s="2">
        <v>85.1</v>
      </c>
      <c r="I6" s="10">
        <v>1476.59</v>
      </c>
      <c r="J6" s="16">
        <f t="shared" si="0"/>
        <v>125657.80899999998</v>
      </c>
      <c r="K6" s="10">
        <v>1229</v>
      </c>
      <c r="L6" s="16">
        <f t="shared" si="1"/>
        <v>104587.9</v>
      </c>
      <c r="M6" s="10">
        <f t="shared" si="2"/>
        <v>247.58999999999992</v>
      </c>
      <c r="N6" s="16">
        <f t="shared" si="3"/>
        <v>21069.908999999992</v>
      </c>
    </row>
    <row r="7" spans="1:14" x14ac:dyDescent="0.35">
      <c r="A7" s="2" t="s">
        <v>41</v>
      </c>
      <c r="B7" s="2" t="s">
        <v>60</v>
      </c>
      <c r="C7" s="2" t="s">
        <v>48</v>
      </c>
      <c r="D7" s="13" t="s">
        <v>54</v>
      </c>
      <c r="E7" s="2" t="s">
        <v>42</v>
      </c>
      <c r="F7" s="2">
        <v>9</v>
      </c>
      <c r="G7" s="13">
        <v>45808</v>
      </c>
      <c r="H7" s="2">
        <v>85.1</v>
      </c>
      <c r="I7" s="10">
        <v>664.46000100000003</v>
      </c>
      <c r="J7" s="16">
        <f t="shared" si="0"/>
        <v>56545.546085100003</v>
      </c>
      <c r="K7" s="10">
        <v>553.04999999999995</v>
      </c>
      <c r="L7" s="16">
        <f t="shared" si="1"/>
        <v>47064.554999999993</v>
      </c>
      <c r="M7" s="10">
        <f t="shared" si="2"/>
        <v>111.41000100000008</v>
      </c>
      <c r="N7" s="16">
        <f t="shared" si="3"/>
        <v>9480.9910851000059</v>
      </c>
    </row>
    <row r="8" spans="1:14" x14ac:dyDescent="0.35">
      <c r="A8" s="26" t="s">
        <v>23</v>
      </c>
      <c r="B8" s="27" t="s">
        <v>25</v>
      </c>
      <c r="C8" s="27" t="s">
        <v>48</v>
      </c>
      <c r="D8" s="27" t="s">
        <v>54</v>
      </c>
      <c r="E8" s="26" t="s">
        <v>42</v>
      </c>
      <c r="F8" s="26">
        <v>34</v>
      </c>
      <c r="G8" s="27">
        <v>45808</v>
      </c>
      <c r="H8" s="26">
        <v>85.1</v>
      </c>
      <c r="I8" s="28">
        <v>2506.7300019999998</v>
      </c>
      <c r="J8" s="29">
        <f t="shared" si="0"/>
        <v>213322.72317019996</v>
      </c>
      <c r="K8" s="28">
        <v>2453.4359880000002</v>
      </c>
      <c r="L8" s="29">
        <f t="shared" si="1"/>
        <v>208787.40257880001</v>
      </c>
      <c r="M8" s="28">
        <f t="shared" si="2"/>
        <v>53.294013999999606</v>
      </c>
      <c r="N8" s="29">
        <f t="shared" si="3"/>
        <v>4535.3205913999664</v>
      </c>
    </row>
    <row r="9" spans="1:14" x14ac:dyDescent="0.35">
      <c r="A9" s="17" t="s">
        <v>41</v>
      </c>
      <c r="B9" s="18" t="s">
        <v>26</v>
      </c>
      <c r="C9" s="19" t="s">
        <v>49</v>
      </c>
      <c r="D9" s="19" t="s">
        <v>57</v>
      </c>
      <c r="E9" s="19" t="s">
        <v>43</v>
      </c>
      <c r="F9" s="17">
        <v>66</v>
      </c>
      <c r="G9" s="18">
        <v>45930</v>
      </c>
      <c r="H9" s="17">
        <v>88.35</v>
      </c>
      <c r="I9" s="20">
        <v>10437.030054000001</v>
      </c>
      <c r="J9" s="22">
        <f t="shared" si="0"/>
        <v>922111.60527089995</v>
      </c>
      <c r="K9" s="20">
        <v>2847.9</v>
      </c>
      <c r="L9" s="22">
        <f t="shared" si="1"/>
        <v>251611.965</v>
      </c>
      <c r="M9" s="20">
        <f t="shared" si="2"/>
        <v>7589.1300540000011</v>
      </c>
      <c r="N9" s="22">
        <f t="shared" si="3"/>
        <v>670499.6402709001</v>
      </c>
    </row>
    <row r="10" spans="1:14" x14ac:dyDescent="0.35">
      <c r="A10" s="2" t="s">
        <v>41</v>
      </c>
      <c r="B10" s="13" t="s">
        <v>27</v>
      </c>
      <c r="C10" s="14" t="s">
        <v>49</v>
      </c>
      <c r="D10" s="13" t="s">
        <v>54</v>
      </c>
      <c r="E10" s="2" t="s">
        <v>42</v>
      </c>
      <c r="F10" s="2">
        <v>16</v>
      </c>
      <c r="G10" s="13">
        <v>45930</v>
      </c>
      <c r="H10" s="2">
        <v>88.35</v>
      </c>
      <c r="I10" s="10">
        <v>2530.1799999999998</v>
      </c>
      <c r="J10" s="16">
        <f t="shared" si="0"/>
        <v>223541.40299999996</v>
      </c>
      <c r="K10" s="10">
        <v>856</v>
      </c>
      <c r="L10" s="16">
        <f t="shared" si="1"/>
        <v>75627.599999999991</v>
      </c>
      <c r="M10" s="10">
        <f t="shared" si="2"/>
        <v>1674.1799999999998</v>
      </c>
      <c r="N10" s="16">
        <f t="shared" si="3"/>
        <v>147913.80299999999</v>
      </c>
    </row>
    <row r="11" spans="1:14" x14ac:dyDescent="0.35">
      <c r="A11" s="2" t="s">
        <v>41</v>
      </c>
      <c r="B11" s="13" t="s">
        <v>27</v>
      </c>
      <c r="C11" s="14" t="s">
        <v>49</v>
      </c>
      <c r="D11" s="13" t="s">
        <v>54</v>
      </c>
      <c r="E11" s="2" t="s">
        <v>42</v>
      </c>
      <c r="F11" s="2">
        <v>20</v>
      </c>
      <c r="G11" s="13">
        <v>45930</v>
      </c>
      <c r="H11" s="2">
        <v>88.35</v>
      </c>
      <c r="I11" s="10">
        <v>3162.74</v>
      </c>
      <c r="J11" s="16">
        <f t="shared" si="0"/>
        <v>279428.07899999997</v>
      </c>
      <c r="K11" s="10">
        <v>1070</v>
      </c>
      <c r="L11" s="16">
        <f t="shared" si="1"/>
        <v>94534.5</v>
      </c>
      <c r="M11" s="10">
        <f t="shared" si="2"/>
        <v>2092.7399999999998</v>
      </c>
      <c r="N11" s="16">
        <f t="shared" si="3"/>
        <v>184893.57899999997</v>
      </c>
    </row>
    <row r="12" spans="1:14" x14ac:dyDescent="0.35">
      <c r="A12" s="2" t="s">
        <v>41</v>
      </c>
      <c r="B12" s="13" t="s">
        <v>27</v>
      </c>
      <c r="C12" s="14" t="s">
        <v>49</v>
      </c>
      <c r="D12" s="13" t="s">
        <v>54</v>
      </c>
      <c r="E12" s="2" t="s">
        <v>42</v>
      </c>
      <c r="F12" s="2">
        <v>10</v>
      </c>
      <c r="G12" s="13">
        <v>45930</v>
      </c>
      <c r="H12" s="2">
        <v>88.35</v>
      </c>
      <c r="I12" s="10">
        <v>1581.37</v>
      </c>
      <c r="J12" s="16">
        <f t="shared" si="0"/>
        <v>139714.03949999998</v>
      </c>
      <c r="K12" s="10">
        <v>535</v>
      </c>
      <c r="L12" s="16">
        <f t="shared" si="1"/>
        <v>47267.25</v>
      </c>
      <c r="M12" s="10">
        <f t="shared" si="2"/>
        <v>1046.3699999999999</v>
      </c>
      <c r="N12" s="16">
        <f t="shared" si="3"/>
        <v>92446.789499999984</v>
      </c>
    </row>
    <row r="13" spans="1:14" x14ac:dyDescent="0.35">
      <c r="A13" s="2" t="s">
        <v>41</v>
      </c>
      <c r="B13" s="13" t="s">
        <v>28</v>
      </c>
      <c r="C13" s="14" t="s">
        <v>49</v>
      </c>
      <c r="D13" s="13" t="s">
        <v>54</v>
      </c>
      <c r="E13" s="2" t="s">
        <v>42</v>
      </c>
      <c r="F13" s="2">
        <v>16</v>
      </c>
      <c r="G13" s="13">
        <v>45930</v>
      </c>
      <c r="H13" s="2">
        <v>88.35</v>
      </c>
      <c r="I13" s="10">
        <v>2530.1799999999998</v>
      </c>
      <c r="J13" s="16">
        <f t="shared" si="0"/>
        <v>223541.40299999996</v>
      </c>
      <c r="K13" s="10">
        <v>856</v>
      </c>
      <c r="L13" s="16">
        <f t="shared" si="1"/>
        <v>75627.599999999991</v>
      </c>
      <c r="M13" s="10">
        <f t="shared" si="2"/>
        <v>1674.1799999999998</v>
      </c>
      <c r="N13" s="16">
        <f t="shared" si="3"/>
        <v>147913.80299999999</v>
      </c>
    </row>
    <row r="14" spans="1:14" x14ac:dyDescent="0.35">
      <c r="A14" s="2" t="s">
        <v>41</v>
      </c>
      <c r="B14" s="13" t="s">
        <v>28</v>
      </c>
      <c r="C14" s="14" t="s">
        <v>49</v>
      </c>
      <c r="D14" s="13" t="s">
        <v>54</v>
      </c>
      <c r="E14" s="2" t="s">
        <v>42</v>
      </c>
      <c r="F14" s="2">
        <v>20</v>
      </c>
      <c r="G14" s="13">
        <v>45930</v>
      </c>
      <c r="H14" s="2">
        <v>88.35</v>
      </c>
      <c r="I14" s="10">
        <v>3162.74</v>
      </c>
      <c r="J14" s="16">
        <f t="shared" si="0"/>
        <v>279428.07899999997</v>
      </c>
      <c r="K14" s="10">
        <v>1070</v>
      </c>
      <c r="L14" s="16">
        <f t="shared" si="1"/>
        <v>94534.5</v>
      </c>
      <c r="M14" s="10">
        <f t="shared" si="2"/>
        <v>2092.7399999999998</v>
      </c>
      <c r="N14" s="16">
        <f t="shared" si="3"/>
        <v>184893.57899999997</v>
      </c>
    </row>
    <row r="15" spans="1:14" x14ac:dyDescent="0.35">
      <c r="A15" s="2" t="s">
        <v>41</v>
      </c>
      <c r="B15" s="13" t="s">
        <v>28</v>
      </c>
      <c r="C15" s="14" t="s">
        <v>49</v>
      </c>
      <c r="D15" s="13" t="s">
        <v>54</v>
      </c>
      <c r="E15" s="2" t="s">
        <v>42</v>
      </c>
      <c r="F15" s="2">
        <v>9</v>
      </c>
      <c r="G15" s="13">
        <v>45930</v>
      </c>
      <c r="H15" s="2">
        <v>88.35</v>
      </c>
      <c r="I15" s="10">
        <v>1423.2300029999999</v>
      </c>
      <c r="J15" s="16">
        <f t="shared" si="0"/>
        <v>125742.37076504999</v>
      </c>
      <c r="K15" s="10">
        <v>481.5</v>
      </c>
      <c r="L15" s="16">
        <f t="shared" si="1"/>
        <v>42540.524999999994</v>
      </c>
      <c r="M15" s="10">
        <f t="shared" si="2"/>
        <v>941.7300029999999</v>
      </c>
      <c r="N15" s="16">
        <f t="shared" si="3"/>
        <v>83201.845765049991</v>
      </c>
    </row>
    <row r="16" spans="1:14" x14ac:dyDescent="0.35">
      <c r="A16" s="2" t="s">
        <v>41</v>
      </c>
      <c r="B16" s="13" t="s">
        <v>29</v>
      </c>
      <c r="C16" s="14" t="s">
        <v>50</v>
      </c>
      <c r="D16" s="13" t="s">
        <v>54</v>
      </c>
      <c r="E16" s="2" t="s">
        <v>42</v>
      </c>
      <c r="F16" s="2">
        <v>16</v>
      </c>
      <c r="G16" s="13">
        <v>45961</v>
      </c>
      <c r="H16" s="2">
        <v>88.2</v>
      </c>
      <c r="I16" s="10">
        <v>3241.88</v>
      </c>
      <c r="J16" s="16">
        <f t="shared" si="0"/>
        <v>285933.81599999999</v>
      </c>
      <c r="K16" s="10">
        <v>649.6</v>
      </c>
      <c r="L16" s="16">
        <f t="shared" si="1"/>
        <v>57294.720000000001</v>
      </c>
      <c r="M16" s="10">
        <f t="shared" si="2"/>
        <v>2592.2800000000002</v>
      </c>
      <c r="N16" s="16">
        <f t="shared" si="3"/>
        <v>228639.09600000002</v>
      </c>
    </row>
    <row r="17" spans="1:16" x14ac:dyDescent="0.35">
      <c r="A17" s="2" t="s">
        <v>41</v>
      </c>
      <c r="B17" s="13" t="s">
        <v>30</v>
      </c>
      <c r="C17" s="14" t="s">
        <v>50</v>
      </c>
      <c r="D17" s="13" t="s">
        <v>54</v>
      </c>
      <c r="E17" s="2" t="s">
        <v>42</v>
      </c>
      <c r="F17" s="2">
        <v>20</v>
      </c>
      <c r="G17" s="13">
        <v>45961</v>
      </c>
      <c r="H17" s="2">
        <v>88.2</v>
      </c>
      <c r="I17" s="10">
        <v>4052.35</v>
      </c>
      <c r="J17" s="16">
        <f t="shared" si="0"/>
        <v>357417.27</v>
      </c>
      <c r="K17" s="10">
        <v>812</v>
      </c>
      <c r="L17" s="16">
        <f t="shared" si="1"/>
        <v>71618.400000000009</v>
      </c>
      <c r="M17" s="10">
        <f t="shared" si="2"/>
        <v>3240.35</v>
      </c>
      <c r="N17" s="16">
        <f t="shared" si="3"/>
        <v>285798.87</v>
      </c>
    </row>
    <row r="18" spans="1:16" x14ac:dyDescent="0.35">
      <c r="A18" s="2" t="s">
        <v>41</v>
      </c>
      <c r="B18" s="13" t="s">
        <v>30</v>
      </c>
      <c r="C18" s="14" t="s">
        <v>50</v>
      </c>
      <c r="D18" s="13" t="s">
        <v>54</v>
      </c>
      <c r="E18" s="2" t="s">
        <v>42</v>
      </c>
      <c r="F18" s="2">
        <v>16</v>
      </c>
      <c r="G18" s="13">
        <v>45961</v>
      </c>
      <c r="H18" s="2">
        <v>88.2</v>
      </c>
      <c r="I18" s="10">
        <v>3241.88</v>
      </c>
      <c r="J18" s="16">
        <f t="shared" si="0"/>
        <v>285933.81599999999</v>
      </c>
      <c r="K18" s="10">
        <v>649.6</v>
      </c>
      <c r="L18" s="16">
        <f t="shared" si="1"/>
        <v>57294.720000000001</v>
      </c>
      <c r="M18" s="10">
        <f t="shared" si="2"/>
        <v>2592.2800000000002</v>
      </c>
      <c r="N18" s="16">
        <f t="shared" si="3"/>
        <v>228639.09600000002</v>
      </c>
    </row>
    <row r="19" spans="1:16" x14ac:dyDescent="0.35">
      <c r="A19" s="2" t="s">
        <v>41</v>
      </c>
      <c r="B19" s="13" t="s">
        <v>31</v>
      </c>
      <c r="C19" s="14" t="s">
        <v>50</v>
      </c>
      <c r="D19" s="13" t="s">
        <v>54</v>
      </c>
      <c r="E19" s="2" t="s">
        <v>42</v>
      </c>
      <c r="F19" s="2">
        <v>16</v>
      </c>
      <c r="G19" s="13">
        <v>45961</v>
      </c>
      <c r="H19" s="2">
        <v>88.2</v>
      </c>
      <c r="I19" s="10">
        <v>3241.88</v>
      </c>
      <c r="J19" s="16">
        <f t="shared" si="0"/>
        <v>285933.81599999999</v>
      </c>
      <c r="K19" s="10">
        <v>696.96</v>
      </c>
      <c r="L19" s="16">
        <f t="shared" si="1"/>
        <v>61471.872000000003</v>
      </c>
      <c r="M19" s="10">
        <f t="shared" si="2"/>
        <v>2544.92</v>
      </c>
      <c r="N19" s="16">
        <f t="shared" si="3"/>
        <v>224461.94400000002</v>
      </c>
      <c r="P19" s="11"/>
    </row>
    <row r="20" spans="1:16" x14ac:dyDescent="0.35">
      <c r="A20" s="2" t="s">
        <v>41</v>
      </c>
      <c r="B20" s="13" t="s">
        <v>31</v>
      </c>
      <c r="C20" s="14" t="s">
        <v>50</v>
      </c>
      <c r="D20" s="13" t="s">
        <v>54</v>
      </c>
      <c r="E20" s="2" t="s">
        <v>42</v>
      </c>
      <c r="F20" s="2">
        <v>20</v>
      </c>
      <c r="G20" s="13">
        <v>45961</v>
      </c>
      <c r="H20" s="2">
        <v>88.2</v>
      </c>
      <c r="I20" s="10">
        <v>4052.35</v>
      </c>
      <c r="J20" s="16">
        <f t="shared" si="0"/>
        <v>357417.27</v>
      </c>
      <c r="K20" s="10">
        <v>871.2</v>
      </c>
      <c r="L20" s="16">
        <f t="shared" si="1"/>
        <v>76839.840000000011</v>
      </c>
      <c r="M20" s="10">
        <f t="shared" si="2"/>
        <v>3181.1499999999996</v>
      </c>
      <c r="N20" s="16">
        <f t="shared" si="3"/>
        <v>280577.43</v>
      </c>
    </row>
    <row r="21" spans="1:16" x14ac:dyDescent="0.35">
      <c r="A21" s="2" t="s">
        <v>41</v>
      </c>
      <c r="B21" s="13" t="s">
        <v>32</v>
      </c>
      <c r="C21" s="14" t="s">
        <v>50</v>
      </c>
      <c r="D21" s="13" t="s">
        <v>54</v>
      </c>
      <c r="E21" s="2" t="s">
        <v>42</v>
      </c>
      <c r="F21" s="2">
        <v>16</v>
      </c>
      <c r="G21" s="13">
        <v>45961</v>
      </c>
      <c r="H21" s="2">
        <v>88.2</v>
      </c>
      <c r="I21" s="10">
        <v>3241.88</v>
      </c>
      <c r="J21" s="16">
        <f t="shared" si="0"/>
        <v>285933.81599999999</v>
      </c>
      <c r="K21" s="10">
        <v>696.96</v>
      </c>
      <c r="L21" s="16">
        <f t="shared" si="1"/>
        <v>61471.872000000003</v>
      </c>
      <c r="M21" s="10">
        <f t="shared" si="2"/>
        <v>2544.92</v>
      </c>
      <c r="N21" s="16">
        <f t="shared" si="3"/>
        <v>224461.94400000002</v>
      </c>
    </row>
    <row r="22" spans="1:16" x14ac:dyDescent="0.35">
      <c r="A22" s="2" t="s">
        <v>41</v>
      </c>
      <c r="B22" s="13" t="s">
        <v>32</v>
      </c>
      <c r="C22" s="14" t="s">
        <v>50</v>
      </c>
      <c r="D22" s="13" t="s">
        <v>54</v>
      </c>
      <c r="E22" s="2" t="s">
        <v>42</v>
      </c>
      <c r="F22" s="2">
        <v>20</v>
      </c>
      <c r="G22" s="13">
        <v>45961</v>
      </c>
      <c r="H22" s="2">
        <v>88.2</v>
      </c>
      <c r="I22" s="10">
        <v>4052.36</v>
      </c>
      <c r="J22" s="16">
        <f t="shared" si="0"/>
        <v>357418.152</v>
      </c>
      <c r="K22" s="10">
        <v>871.2</v>
      </c>
      <c r="L22" s="16">
        <f t="shared" si="1"/>
        <v>76839.840000000011</v>
      </c>
      <c r="M22" s="10">
        <f t="shared" si="2"/>
        <v>3181.16</v>
      </c>
      <c r="N22" s="16">
        <f t="shared" si="3"/>
        <v>280578.31199999998</v>
      </c>
    </row>
    <row r="23" spans="1:16" x14ac:dyDescent="0.35">
      <c r="A23" s="2" t="s">
        <v>41</v>
      </c>
      <c r="B23" s="13" t="s">
        <v>33</v>
      </c>
      <c r="C23" s="14" t="s">
        <v>50</v>
      </c>
      <c r="D23" s="13" t="s">
        <v>54</v>
      </c>
      <c r="E23" s="2" t="s">
        <v>42</v>
      </c>
      <c r="F23" s="2">
        <v>16</v>
      </c>
      <c r="G23" s="13">
        <v>45961</v>
      </c>
      <c r="H23" s="2">
        <v>88.2</v>
      </c>
      <c r="I23" s="10">
        <v>3241.89</v>
      </c>
      <c r="J23" s="16">
        <f t="shared" si="0"/>
        <v>285934.69799999997</v>
      </c>
      <c r="K23" s="10">
        <v>983.2</v>
      </c>
      <c r="L23" s="16">
        <f t="shared" si="1"/>
        <v>86718.24</v>
      </c>
      <c r="M23" s="10">
        <f t="shared" si="2"/>
        <v>2258.6899999999996</v>
      </c>
      <c r="N23" s="16">
        <f t="shared" si="3"/>
        <v>199216.45799999998</v>
      </c>
    </row>
    <row r="24" spans="1:16" x14ac:dyDescent="0.35">
      <c r="A24" s="26" t="s">
        <v>23</v>
      </c>
      <c r="B24" s="27" t="s">
        <v>34</v>
      </c>
      <c r="C24" s="30" t="s">
        <v>51</v>
      </c>
      <c r="D24" s="27" t="s">
        <v>54</v>
      </c>
      <c r="E24" s="26" t="s">
        <v>42</v>
      </c>
      <c r="F24" s="26">
        <v>34</v>
      </c>
      <c r="G24" s="27">
        <v>45990</v>
      </c>
      <c r="H24" s="26">
        <v>88.95</v>
      </c>
      <c r="I24" s="28">
        <v>7607.33</v>
      </c>
      <c r="J24" s="29">
        <f t="shared" si="0"/>
        <v>676672.00349999999</v>
      </c>
      <c r="K24" s="28">
        <v>7350.1159879999996</v>
      </c>
      <c r="L24" s="29">
        <f t="shared" si="1"/>
        <v>653792.8171326</v>
      </c>
      <c r="M24" s="28">
        <f t="shared" si="2"/>
        <v>257.21401200000037</v>
      </c>
      <c r="N24" s="29">
        <f t="shared" si="3"/>
        <v>22879.186367400034</v>
      </c>
    </row>
    <row r="25" spans="1:16" x14ac:dyDescent="0.35">
      <c r="A25" s="2" t="s">
        <v>41</v>
      </c>
      <c r="B25" s="13" t="s">
        <v>35</v>
      </c>
      <c r="C25" s="14" t="s">
        <v>52</v>
      </c>
      <c r="D25" s="13" t="s">
        <v>54</v>
      </c>
      <c r="E25" s="2" t="s">
        <v>42</v>
      </c>
      <c r="F25" s="2">
        <v>21</v>
      </c>
      <c r="G25" s="13">
        <v>45990</v>
      </c>
      <c r="H25" s="2">
        <v>88.95</v>
      </c>
      <c r="I25" s="10">
        <v>4930.5499950000003</v>
      </c>
      <c r="J25" s="16">
        <f t="shared" si="0"/>
        <v>438572.42205525003</v>
      </c>
      <c r="K25" s="10">
        <v>3180.45</v>
      </c>
      <c r="L25" s="16">
        <f t="shared" si="1"/>
        <v>282901.02749999997</v>
      </c>
      <c r="M25" s="10">
        <f t="shared" si="2"/>
        <v>1750.0999950000005</v>
      </c>
      <c r="N25" s="16">
        <f t="shared" si="3"/>
        <v>155671.39455525004</v>
      </c>
    </row>
    <row r="26" spans="1:16" x14ac:dyDescent="0.35">
      <c r="A26" s="2" t="s">
        <v>41</v>
      </c>
      <c r="B26" s="13" t="s">
        <v>35</v>
      </c>
      <c r="C26" s="14" t="s">
        <v>52</v>
      </c>
      <c r="D26" s="13" t="s">
        <v>54</v>
      </c>
      <c r="E26" s="2" t="s">
        <v>42</v>
      </c>
      <c r="F26" s="2">
        <v>10</v>
      </c>
      <c r="G26" s="13">
        <v>45990</v>
      </c>
      <c r="H26" s="2">
        <v>88.95</v>
      </c>
      <c r="I26" s="10">
        <v>2347.89</v>
      </c>
      <c r="J26" s="16">
        <f t="shared" si="0"/>
        <v>208844.8155</v>
      </c>
      <c r="K26" s="10">
        <v>1514.5</v>
      </c>
      <c r="L26" s="16">
        <f t="shared" si="1"/>
        <v>134714.77499999999</v>
      </c>
      <c r="M26" s="10">
        <f t="shared" si="2"/>
        <v>833.38999999999987</v>
      </c>
      <c r="N26" s="16">
        <f t="shared" si="3"/>
        <v>74130.040499999988</v>
      </c>
    </row>
    <row r="27" spans="1:16" x14ac:dyDescent="0.35">
      <c r="A27" s="2" t="s">
        <v>41</v>
      </c>
      <c r="B27" s="13" t="s">
        <v>35</v>
      </c>
      <c r="C27" s="14" t="s">
        <v>52</v>
      </c>
      <c r="D27" s="13" t="s">
        <v>54</v>
      </c>
      <c r="E27" s="2" t="s">
        <v>42</v>
      </c>
      <c r="F27" s="2">
        <v>16</v>
      </c>
      <c r="G27" s="13">
        <v>45990</v>
      </c>
      <c r="H27" s="2">
        <v>88.95</v>
      </c>
      <c r="I27" s="10">
        <v>3756.61</v>
      </c>
      <c r="J27" s="16">
        <f t="shared" si="0"/>
        <v>334150.4595</v>
      </c>
      <c r="K27" s="10">
        <v>2423.1999999999998</v>
      </c>
      <c r="L27" s="16">
        <f t="shared" si="1"/>
        <v>215543.63999999998</v>
      </c>
      <c r="M27" s="10">
        <f t="shared" si="2"/>
        <v>1333.4100000000003</v>
      </c>
      <c r="N27" s="16">
        <f t="shared" si="3"/>
        <v>118606.81950000003</v>
      </c>
    </row>
    <row r="28" spans="1:16" x14ac:dyDescent="0.35">
      <c r="A28" s="2" t="s">
        <v>41</v>
      </c>
      <c r="B28" s="13" t="s">
        <v>58</v>
      </c>
      <c r="C28" s="14" t="s">
        <v>59</v>
      </c>
      <c r="D28" s="13" t="s">
        <v>54</v>
      </c>
      <c r="E28" s="2" t="s">
        <v>42</v>
      </c>
      <c r="F28" s="2">
        <v>16</v>
      </c>
      <c r="G28" s="13">
        <v>46080</v>
      </c>
      <c r="H28" s="2">
        <v>90.56</v>
      </c>
      <c r="I28" s="10">
        <v>6556.75</v>
      </c>
      <c r="J28" s="16">
        <f t="shared" si="0"/>
        <v>593779.28</v>
      </c>
      <c r="K28" s="10">
        <v>2423.1999999999998</v>
      </c>
      <c r="L28" s="16">
        <f t="shared" si="1"/>
        <v>219444.992</v>
      </c>
      <c r="M28" s="10">
        <f t="shared" si="2"/>
        <v>4133.55</v>
      </c>
      <c r="N28" s="16">
        <f t="shared" si="3"/>
        <v>374334.288</v>
      </c>
    </row>
    <row r="29" spans="1:16" x14ac:dyDescent="0.35">
      <c r="A29" s="2" t="s">
        <v>41</v>
      </c>
      <c r="B29" s="13" t="s">
        <v>58</v>
      </c>
      <c r="C29" s="14" t="s">
        <v>59</v>
      </c>
      <c r="D29" s="13" t="s">
        <v>54</v>
      </c>
      <c r="E29" s="2" t="s">
        <v>42</v>
      </c>
      <c r="F29" s="2">
        <v>9</v>
      </c>
      <c r="G29" s="13">
        <v>46080</v>
      </c>
      <c r="H29" s="2">
        <v>90.56</v>
      </c>
      <c r="I29" s="10">
        <v>3688.1700030000002</v>
      </c>
      <c r="J29" s="16">
        <f t="shared" si="0"/>
        <v>334000.67547168001</v>
      </c>
      <c r="K29" s="10">
        <v>1363.05</v>
      </c>
      <c r="L29" s="16">
        <f t="shared" si="1"/>
        <v>123437.808</v>
      </c>
      <c r="M29" s="10">
        <f t="shared" si="2"/>
        <v>2325.120003</v>
      </c>
      <c r="N29" s="16">
        <f t="shared" si="3"/>
        <v>210562.86747168002</v>
      </c>
    </row>
    <row r="30" spans="1:16" x14ac:dyDescent="0.35">
      <c r="A30" s="2" t="s">
        <v>41</v>
      </c>
      <c r="B30" s="13" t="s">
        <v>58</v>
      </c>
      <c r="C30" s="14" t="s">
        <v>59</v>
      </c>
      <c r="D30" s="13" t="s">
        <v>54</v>
      </c>
      <c r="E30" s="2" t="s">
        <v>42</v>
      </c>
      <c r="F30" s="2">
        <v>4</v>
      </c>
      <c r="G30" s="13">
        <v>46080</v>
      </c>
      <c r="H30" s="2">
        <v>90.56</v>
      </c>
      <c r="I30" s="10">
        <v>1639.19</v>
      </c>
      <c r="J30" s="16">
        <f t="shared" si="0"/>
        <v>148445.04640000002</v>
      </c>
      <c r="K30" s="10">
        <v>605.79999999999995</v>
      </c>
      <c r="L30" s="16">
        <f t="shared" si="1"/>
        <v>54861.248</v>
      </c>
      <c r="M30" s="10">
        <f t="shared" si="2"/>
        <v>1033.3900000000001</v>
      </c>
      <c r="N30" s="16">
        <f t="shared" si="3"/>
        <v>93583.798400000014</v>
      </c>
    </row>
    <row r="31" spans="1:16" x14ac:dyDescent="0.35">
      <c r="A31" s="2" t="s">
        <v>41</v>
      </c>
      <c r="B31" s="13" t="s">
        <v>58</v>
      </c>
      <c r="C31" s="14" t="s">
        <v>59</v>
      </c>
      <c r="D31" s="13" t="s">
        <v>54</v>
      </c>
      <c r="E31" s="2" t="s">
        <v>42</v>
      </c>
      <c r="F31" s="2">
        <v>20</v>
      </c>
      <c r="G31" s="13">
        <v>46080</v>
      </c>
      <c r="H31" s="2">
        <v>90.56</v>
      </c>
      <c r="I31" s="10">
        <v>8195.94</v>
      </c>
      <c r="J31" s="16">
        <f t="shared" si="0"/>
        <v>742224.32640000002</v>
      </c>
      <c r="K31" s="10">
        <v>3029</v>
      </c>
      <c r="L31" s="16">
        <f t="shared" si="1"/>
        <v>274306.24</v>
      </c>
      <c r="M31" s="10">
        <f t="shared" si="2"/>
        <v>5166.9400000000005</v>
      </c>
      <c r="N31" s="16">
        <f t="shared" si="3"/>
        <v>467918.08640000003</v>
      </c>
    </row>
    <row r="32" spans="1:16" x14ac:dyDescent="0.35">
      <c r="A32" s="2"/>
      <c r="B32" s="13"/>
      <c r="C32" s="14"/>
      <c r="D32" s="13"/>
      <c r="E32" s="2"/>
      <c r="F32" s="31">
        <f>+SUM(F4:F31)</f>
        <v>527</v>
      </c>
      <c r="G32" s="31"/>
      <c r="H32" s="31"/>
      <c r="I32" s="32">
        <f t="shared" ref="I32:N32" si="4">+SUM(I4:I31)</f>
        <v>99295.840061999988</v>
      </c>
      <c r="J32" s="33">
        <f t="shared" si="4"/>
        <v>8800111.559958579</v>
      </c>
      <c r="K32" s="32">
        <f t="shared" si="4"/>
        <v>42345.571976000007</v>
      </c>
      <c r="L32" s="33">
        <f t="shared" si="4"/>
        <v>3744223.4642114006</v>
      </c>
      <c r="M32" s="32">
        <f t="shared" si="4"/>
        <v>56950.268086000011</v>
      </c>
      <c r="N32" s="33">
        <f t="shared" si="4"/>
        <v>5055888.0957471812</v>
      </c>
    </row>
    <row r="33" spans="1:13" x14ac:dyDescent="0.35">
      <c r="A33" s="48" t="s">
        <v>87</v>
      </c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  <row r="34" spans="1:13" x14ac:dyDescent="0.35">
      <c r="A34" s="48" t="s">
        <v>56</v>
      </c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  <row r="36" spans="1:13" x14ac:dyDescent="0.35">
      <c r="A36" s="23" t="s">
        <v>64</v>
      </c>
      <c r="B36" t="s">
        <v>65</v>
      </c>
      <c r="C36" t="s">
        <v>39</v>
      </c>
      <c r="D36" t="s">
        <v>21</v>
      </c>
      <c r="F36" s="23" t="s">
        <v>64</v>
      </c>
      <c r="G36" t="s">
        <v>65</v>
      </c>
      <c r="H36" t="s">
        <v>39</v>
      </c>
      <c r="I36" t="s">
        <v>90</v>
      </c>
      <c r="J36" s="15"/>
    </row>
    <row r="37" spans="1:13" x14ac:dyDescent="0.35">
      <c r="A37" s="12" t="s">
        <v>43</v>
      </c>
      <c r="B37" s="6">
        <v>922111.60527089995</v>
      </c>
      <c r="C37" s="6">
        <v>251611.965</v>
      </c>
      <c r="D37" s="6">
        <v>670499.6402709001</v>
      </c>
      <c r="F37" s="12" t="s">
        <v>43</v>
      </c>
      <c r="G37" s="8">
        <v>922111.60527089995</v>
      </c>
      <c r="H37" s="8">
        <v>251611.965</v>
      </c>
      <c r="I37" s="8">
        <v>670499.6402709001</v>
      </c>
    </row>
    <row r="38" spans="1:13" x14ac:dyDescent="0.35">
      <c r="A38" s="12" t="s">
        <v>42</v>
      </c>
      <c r="B38" s="6">
        <v>7877999.9546876792</v>
      </c>
      <c r="C38" s="6">
        <v>3492611.4992114007</v>
      </c>
      <c r="D38" s="6">
        <v>4385388.4554762812</v>
      </c>
      <c r="F38" s="12" t="s">
        <v>42</v>
      </c>
      <c r="G38" s="8">
        <v>7877999.9546876792</v>
      </c>
      <c r="H38" s="8">
        <v>3492611.4992114007</v>
      </c>
      <c r="I38" s="8">
        <v>4385388.4554762812</v>
      </c>
    </row>
    <row r="39" spans="1:13" x14ac:dyDescent="0.35">
      <c r="A39" s="12" t="s">
        <v>62</v>
      </c>
      <c r="B39" s="6">
        <v>0</v>
      </c>
      <c r="C39" s="6">
        <v>0</v>
      </c>
      <c r="D39" s="6">
        <v>0</v>
      </c>
      <c r="F39" s="12" t="s">
        <v>62</v>
      </c>
      <c r="G39" s="8">
        <v>0</v>
      </c>
      <c r="H39" s="8">
        <v>0</v>
      </c>
      <c r="I39" s="8">
        <v>0</v>
      </c>
    </row>
    <row r="40" spans="1:13" x14ac:dyDescent="0.35">
      <c r="A40" s="12" t="s">
        <v>63</v>
      </c>
      <c r="B40" s="6">
        <v>8800111.559958579</v>
      </c>
      <c r="C40" s="6">
        <v>3744223.4642114006</v>
      </c>
      <c r="D40" s="6">
        <v>5055888.0957471812</v>
      </c>
      <c r="F40" s="12" t="s">
        <v>63</v>
      </c>
      <c r="G40" s="8">
        <v>8800111.559958579</v>
      </c>
      <c r="H40" s="8">
        <v>3744223.4642114006</v>
      </c>
      <c r="I40" s="8">
        <v>5055888.0957471812</v>
      </c>
    </row>
  </sheetData>
  <mergeCells count="6">
    <mergeCell ref="A34:M34"/>
    <mergeCell ref="A1:N1"/>
    <mergeCell ref="K2:L2"/>
    <mergeCell ref="M2:N2"/>
    <mergeCell ref="I2:J2"/>
    <mergeCell ref="A33:M3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50642-94F6-48D0-9EEC-1CE15E8ACD67}">
  <dimension ref="A1:C7"/>
  <sheetViews>
    <sheetView zoomScale="385" zoomScaleNormal="385" workbookViewId="0">
      <selection activeCell="B3" sqref="B3"/>
    </sheetView>
  </sheetViews>
  <sheetFormatPr defaultRowHeight="14.5" x14ac:dyDescent="0.35"/>
  <cols>
    <col min="1" max="1" width="27.8984375" customWidth="1"/>
    <col min="2" max="2" width="11.796875" bestFit="1" customWidth="1"/>
  </cols>
  <sheetData>
    <row r="1" spans="1:3" x14ac:dyDescent="0.35">
      <c r="A1" s="49" t="s">
        <v>4</v>
      </c>
      <c r="B1" s="50"/>
    </row>
    <row r="2" spans="1:3" x14ac:dyDescent="0.35">
      <c r="A2" s="1" t="s">
        <v>0</v>
      </c>
      <c r="B2" s="4">
        <v>120506</v>
      </c>
      <c r="C2" t="s">
        <v>24</v>
      </c>
    </row>
    <row r="3" spans="1:3" x14ac:dyDescent="0.35">
      <c r="A3" s="1" t="s">
        <v>1</v>
      </c>
      <c r="B3" s="4">
        <v>92755</v>
      </c>
      <c r="C3" t="s">
        <v>24</v>
      </c>
    </row>
    <row r="4" spans="1:3" x14ac:dyDescent="0.35">
      <c r="A4" s="1" t="s">
        <v>16</v>
      </c>
      <c r="B4" s="4">
        <v>0</v>
      </c>
    </row>
    <row r="5" spans="1:3" x14ac:dyDescent="0.35">
      <c r="A5" s="1" t="s">
        <v>2</v>
      </c>
      <c r="B5" s="4">
        <v>0</v>
      </c>
    </row>
    <row r="6" spans="1:3" x14ac:dyDescent="0.35">
      <c r="A6" s="1" t="s">
        <v>3</v>
      </c>
      <c r="B6" s="4">
        <v>0</v>
      </c>
    </row>
    <row r="7" spans="1:3" ht="15" thickBot="1" x14ac:dyDescent="0.4">
      <c r="A7" s="3" t="s">
        <v>4</v>
      </c>
      <c r="B7" s="5">
        <f>+SUM(B2:B6)</f>
        <v>213261</v>
      </c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54785-06F5-4945-BEBF-569357201EB8}">
  <dimension ref="A1:F10"/>
  <sheetViews>
    <sheetView showGridLines="0" zoomScale="325" zoomScaleNormal="325" workbookViewId="0">
      <selection activeCell="E4" sqref="E4:E5"/>
    </sheetView>
  </sheetViews>
  <sheetFormatPr defaultRowHeight="14.5" x14ac:dyDescent="0.35"/>
  <cols>
    <col min="1" max="1" width="19.59765625" bestFit="1" customWidth="1"/>
    <col min="2" max="2" width="11.59765625" bestFit="1" customWidth="1"/>
    <col min="3" max="3" width="14.5" bestFit="1" customWidth="1"/>
    <col min="4" max="4" width="19.3984375" bestFit="1" customWidth="1"/>
    <col min="5" max="5" width="15.796875" bestFit="1" customWidth="1"/>
    <col min="6" max="6" width="25" bestFit="1" customWidth="1"/>
  </cols>
  <sheetData>
    <row r="1" spans="1:6" x14ac:dyDescent="0.35">
      <c r="A1" s="43" t="s">
        <v>76</v>
      </c>
      <c r="B1" s="43"/>
      <c r="C1" s="43"/>
      <c r="D1" s="43"/>
      <c r="E1" s="43"/>
      <c r="F1" s="43"/>
    </row>
    <row r="2" spans="1:6" x14ac:dyDescent="0.35">
      <c r="A2" s="34" t="s">
        <v>71</v>
      </c>
      <c r="B2" s="34" t="s">
        <v>67</v>
      </c>
      <c r="C2" s="34" t="s">
        <v>69</v>
      </c>
      <c r="D2" s="34" t="s">
        <v>70</v>
      </c>
      <c r="E2" s="34" t="s">
        <v>72</v>
      </c>
      <c r="F2" s="34" t="s">
        <v>66</v>
      </c>
    </row>
    <row r="3" spans="1:6" x14ac:dyDescent="0.35">
      <c r="A3" s="2" t="s">
        <v>110</v>
      </c>
      <c r="B3" s="2" t="s">
        <v>68</v>
      </c>
      <c r="C3" s="35">
        <f>+Salary!B5+Salary!B4</f>
        <v>2647655</v>
      </c>
      <c r="D3" s="2">
        <v>0</v>
      </c>
      <c r="E3" s="35">
        <f>+C3*B10%</f>
        <v>659397.72607440245</v>
      </c>
      <c r="F3" s="2" t="s">
        <v>75</v>
      </c>
    </row>
    <row r="4" spans="1:6" x14ac:dyDescent="0.35">
      <c r="A4" s="2" t="s">
        <v>73</v>
      </c>
      <c r="B4" s="2" t="s">
        <v>21</v>
      </c>
      <c r="C4" s="35">
        <f>+'Capital Gain'!H16</f>
        <v>670499.64027089998</v>
      </c>
      <c r="D4" s="2">
        <v>0</v>
      </c>
      <c r="E4" s="35">
        <f>+C4*12.5%</f>
        <v>83812.455033862498</v>
      </c>
      <c r="F4" s="2" t="s">
        <v>75</v>
      </c>
    </row>
    <row r="5" spans="1:6" x14ac:dyDescent="0.35">
      <c r="A5" s="2" t="s">
        <v>74</v>
      </c>
      <c r="B5" s="2" t="s">
        <v>21</v>
      </c>
      <c r="C5" s="35">
        <f>+'Capital Gain'!I7</f>
        <v>4385388.4554762784</v>
      </c>
      <c r="D5" s="2">
        <v>0</v>
      </c>
      <c r="E5" s="35">
        <f>+C5*B10%</f>
        <v>1092179.7498140784</v>
      </c>
      <c r="F5" s="2" t="s">
        <v>75</v>
      </c>
    </row>
    <row r="6" spans="1:6" x14ac:dyDescent="0.35">
      <c r="C6" s="36">
        <f>+SUM(C3:C5)</f>
        <v>7703543.0957471784</v>
      </c>
      <c r="D6" s="24"/>
      <c r="E6" s="36">
        <f>+SUM(E3:E5)</f>
        <v>1835389.9309223434</v>
      </c>
    </row>
    <row r="8" spans="1:6" x14ac:dyDescent="0.35">
      <c r="A8" s="68" t="s">
        <v>125</v>
      </c>
      <c r="B8" s="69">
        <v>8243326</v>
      </c>
    </row>
    <row r="9" spans="1:6" x14ac:dyDescent="0.35">
      <c r="A9" s="68" t="s">
        <v>126</v>
      </c>
      <c r="B9" s="70">
        <v>2052998</v>
      </c>
      <c r="E9" s="6"/>
    </row>
    <row r="10" spans="1:6" x14ac:dyDescent="0.35">
      <c r="A10" s="71" t="s">
        <v>127</v>
      </c>
      <c r="B10" s="72">
        <f>+B9/B8*100</f>
        <v>24.90497160976043</v>
      </c>
    </row>
  </sheetData>
  <mergeCells count="1"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499EC-B98E-42FD-A024-12B39E159A7D}">
  <dimension ref="A1:G26"/>
  <sheetViews>
    <sheetView showGridLines="0" zoomScale="265" zoomScaleNormal="265" workbookViewId="0">
      <selection activeCell="B3" sqref="B3"/>
    </sheetView>
  </sheetViews>
  <sheetFormatPr defaultRowHeight="14.5" x14ac:dyDescent="0.35"/>
  <cols>
    <col min="1" max="1" width="24" customWidth="1"/>
    <col min="2" max="2" width="26.8984375" bestFit="1" customWidth="1"/>
    <col min="3" max="3" width="3.296875" customWidth="1"/>
    <col min="4" max="4" width="52" bestFit="1" customWidth="1"/>
    <col min="5" max="5" width="28.09765625" customWidth="1"/>
    <col min="6" max="6" width="20.3984375" customWidth="1"/>
    <col min="7" max="7" width="27.19921875" bestFit="1" customWidth="1"/>
    <col min="8" max="8" width="33.19921875" bestFit="1" customWidth="1"/>
    <col min="9" max="9" width="14.3984375" bestFit="1" customWidth="1"/>
    <col min="10" max="10" width="9.8984375" bestFit="1" customWidth="1"/>
  </cols>
  <sheetData>
    <row r="1" spans="1:7" x14ac:dyDescent="0.35">
      <c r="A1" s="66" t="s">
        <v>113</v>
      </c>
      <c r="B1" s="66"/>
      <c r="D1" s="21" t="s">
        <v>112</v>
      </c>
      <c r="E1" s="21"/>
    </row>
    <row r="2" spans="1:7" x14ac:dyDescent="0.35">
      <c r="A2" s="65" t="s">
        <v>77</v>
      </c>
      <c r="B2" s="64" t="s">
        <v>114</v>
      </c>
      <c r="D2" s="31" t="s">
        <v>77</v>
      </c>
      <c r="E2" s="38" t="s">
        <v>114</v>
      </c>
    </row>
    <row r="3" spans="1:7" x14ac:dyDescent="0.35">
      <c r="A3" s="65" t="s">
        <v>78</v>
      </c>
      <c r="B3" s="63" t="s">
        <v>115</v>
      </c>
      <c r="D3" s="31" t="s">
        <v>78</v>
      </c>
      <c r="E3" s="2" t="s">
        <v>129</v>
      </c>
    </row>
    <row r="4" spans="1:7" ht="43.5" x14ac:dyDescent="0.35">
      <c r="A4" s="65" t="s">
        <v>6</v>
      </c>
      <c r="B4" s="64" t="s">
        <v>117</v>
      </c>
      <c r="D4" s="31" t="s">
        <v>6</v>
      </c>
      <c r="E4" s="38" t="s">
        <v>128</v>
      </c>
    </row>
    <row r="5" spans="1:7" x14ac:dyDescent="0.35">
      <c r="A5" s="65" t="s">
        <v>116</v>
      </c>
      <c r="B5" s="63">
        <v>10036</v>
      </c>
      <c r="D5" s="31" t="s">
        <v>79</v>
      </c>
      <c r="E5" s="64">
        <v>46285</v>
      </c>
    </row>
    <row r="6" spans="1:7" ht="29" x14ac:dyDescent="0.35">
      <c r="A6" s="65" t="s">
        <v>118</v>
      </c>
      <c r="B6" s="63">
        <v>256985635</v>
      </c>
      <c r="D6" s="31" t="s">
        <v>81</v>
      </c>
      <c r="E6" s="38" t="s">
        <v>80</v>
      </c>
    </row>
    <row r="7" spans="1:7" x14ac:dyDescent="0.35">
      <c r="A7" s="65" t="s">
        <v>119</v>
      </c>
      <c r="B7" s="63" t="s">
        <v>120</v>
      </c>
      <c r="D7" s="31" t="s">
        <v>82</v>
      </c>
      <c r="E7" s="38" t="s">
        <v>111</v>
      </c>
    </row>
    <row r="8" spans="1:7" x14ac:dyDescent="0.35">
      <c r="A8" s="65" t="s">
        <v>121</v>
      </c>
      <c r="B8" s="63" t="s">
        <v>122</v>
      </c>
      <c r="D8" s="31" t="s">
        <v>85</v>
      </c>
      <c r="E8" s="39">
        <v>2348018.9367999998</v>
      </c>
    </row>
    <row r="9" spans="1:7" x14ac:dyDescent="0.35">
      <c r="A9" s="65" t="s">
        <v>123</v>
      </c>
      <c r="B9" s="67">
        <f>+E9</f>
        <v>5756327.6279999996</v>
      </c>
      <c r="D9" s="31" t="s">
        <v>83</v>
      </c>
      <c r="E9" s="39">
        <v>5756327.6279999996</v>
      </c>
    </row>
    <row r="10" spans="1:7" x14ac:dyDescent="0.35">
      <c r="A10" s="65" t="s">
        <v>124</v>
      </c>
      <c r="B10" s="67">
        <f>+E10</f>
        <v>3285122.7773000002</v>
      </c>
      <c r="D10" s="31" t="s">
        <v>84</v>
      </c>
      <c r="E10" s="35">
        <v>3285122.7773000002</v>
      </c>
    </row>
    <row r="11" spans="1:7" x14ac:dyDescent="0.35">
      <c r="D11" s="31" t="s">
        <v>16</v>
      </c>
      <c r="E11" s="35">
        <v>0</v>
      </c>
    </row>
    <row r="12" spans="1:7" x14ac:dyDescent="0.35">
      <c r="D12" s="31" t="s">
        <v>86</v>
      </c>
      <c r="E12" s="35">
        <v>6981662.2316868985</v>
      </c>
    </row>
    <row r="14" spans="1:7" x14ac:dyDescent="0.35">
      <c r="D14" s="37"/>
    </row>
    <row r="15" spans="1:7" x14ac:dyDescent="0.35">
      <c r="A15" s="51" t="s">
        <v>88</v>
      </c>
      <c r="B15" s="51"/>
      <c r="C15" s="51"/>
      <c r="D15" s="51"/>
      <c r="E15" s="51"/>
      <c r="F15" s="51"/>
    </row>
    <row r="16" spans="1:7" x14ac:dyDescent="0.35">
      <c r="G16" s="25"/>
    </row>
    <row r="26" spans="3:3" x14ac:dyDescent="0.35">
      <c r="C26" s="9"/>
    </row>
  </sheetData>
  <mergeCells count="2">
    <mergeCell ref="A15:F15"/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Salary</vt:lpstr>
      <vt:lpstr>Capital Gain</vt:lpstr>
      <vt:lpstr>E TRADE</vt:lpstr>
      <vt:lpstr>Other Source</vt:lpstr>
      <vt:lpstr>FSI</vt:lpstr>
      <vt:lpstr>FA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Vivek</dc:creator>
  <cp:lastModifiedBy>Vivek Awasthi</cp:lastModifiedBy>
  <cp:lastPrinted>2026-05-27T12:02:58Z</cp:lastPrinted>
  <dcterms:created xsi:type="dcterms:W3CDTF">2021-11-23T10:30:34Z</dcterms:created>
  <dcterms:modified xsi:type="dcterms:W3CDTF">2026-07-25T08:36:08Z</dcterms:modified>
</cp:coreProperties>
</file>